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fclufile\userdiskspace$\mv\Documents\H-drive-backup\BSS\FANCbesluiten\Release card\Berekeningen\"/>
    </mc:Choice>
  </mc:AlternateContent>
  <xr:revisionPtr revIDLastSave="0" documentId="8_{F6777787-F871-4A7E-962F-568D1F59AE77}" xr6:coauthVersionLast="45" xr6:coauthVersionMax="45" xr10:uidLastSave="{00000000-0000-0000-0000-000000000000}"/>
  <workbookProtection workbookAlgorithmName="SHA-512" workbookHashValue="HU738VGCPU03aL+hH1KEa6CLslI6/TdQk3R03/Us+NDq4zSYBtj+oymqOZSIHebUR8PHs2EstwAfAT+sOQSO4Q==" workbookSaltValue="+EMQ9cb4nbkUgJ/sQkhnhg==" workbookSpinCount="100000" lockStructure="1"/>
  <bookViews>
    <workbookView xWindow="-120" yWindow="-120" windowWidth="20730" windowHeight="11160" tabRatio="740" xr2:uid="{0B013678-C8E5-47CF-B0F8-4BB2860982D3}"/>
  </bookViews>
  <sheets>
    <sheet name="CalculatorEN" sheetId="14" r:id="rId1"/>
    <sheet name="CalculatorFR" sheetId="1" r:id="rId2"/>
    <sheet name="CalculatorNL" sheetId="15" r:id="rId3"/>
    <sheet name="CalculatorDE" sheetId="16" r:id="rId4"/>
    <sheet name="DataEN" sheetId="9" state="hidden" r:id="rId5"/>
    <sheet name="DataFR" sheetId="7" state="hidden" r:id="rId6"/>
    <sheet name="DataNL" sheetId="8" state="hidden" r:id="rId7"/>
    <sheet name="DataDE" sheetId="13" state="hidden" r:id="rId8"/>
  </sheets>
  <definedNames>
    <definedName name="EmptyList">DataEN!$C$14</definedName>
    <definedName name="I131NaIDE">DataDE!$C$6:$C$7</definedName>
    <definedName name="I131NaIEN">DataEN!$C$6:$C$7</definedName>
    <definedName name="I131NaIFR">DataFR!$C$6:$C$7</definedName>
    <definedName name="I131NaINL">DataNL!$C$6:$C$7</definedName>
    <definedName name="ProductListDE">DataDE!$D$16:$D$26</definedName>
    <definedName name="ProductListEN">DataEN!$D$16:$D$26</definedName>
    <definedName name="ProductListFR">DataFR!$D$16:$D$26</definedName>
    <definedName name="ProductListNL">DataNL!$D$16:$D$26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6" l="1"/>
  <c r="B9" i="16"/>
  <c r="B10" i="15"/>
  <c r="B9" i="15"/>
  <c r="B9" i="1"/>
  <c r="B10" i="1"/>
  <c r="A5" i="16"/>
  <c r="A5" i="15"/>
  <c r="A5" i="1"/>
  <c r="A5" i="14"/>
  <c r="B9" i="14"/>
  <c r="B10" i="14" s="1"/>
  <c r="D13" i="13" l="1"/>
  <c r="E13" i="13" s="1"/>
  <c r="D12" i="13"/>
  <c r="E12" i="13" s="1"/>
  <c r="E11" i="13"/>
  <c r="D11" i="13"/>
  <c r="D10" i="13"/>
  <c r="E10" i="13" s="1"/>
  <c r="D9" i="13"/>
  <c r="E9" i="13" s="1"/>
  <c r="D8" i="13"/>
  <c r="E8" i="13" s="1"/>
  <c r="D7" i="13"/>
  <c r="E7" i="13" s="1"/>
  <c r="D6" i="13"/>
  <c r="E6" i="13" s="1"/>
  <c r="D5" i="13"/>
  <c r="E5" i="13" s="1"/>
  <c r="E4" i="13"/>
  <c r="D4" i="13"/>
  <c r="D3" i="13"/>
  <c r="E3" i="13" s="1"/>
  <c r="D2" i="13"/>
  <c r="E2" i="13" s="1"/>
  <c r="D13" i="8"/>
  <c r="E13" i="8" s="1"/>
  <c r="D12" i="8"/>
  <c r="E12" i="8" s="1"/>
  <c r="E11" i="8"/>
  <c r="D11" i="8"/>
  <c r="D10" i="8"/>
  <c r="E10" i="8" s="1"/>
  <c r="D9" i="8"/>
  <c r="E9" i="8" s="1"/>
  <c r="D8" i="8"/>
  <c r="E8" i="8" s="1"/>
  <c r="D7" i="8"/>
  <c r="E7" i="8" s="1"/>
  <c r="E6" i="8"/>
  <c r="D6" i="8"/>
  <c r="D5" i="8"/>
  <c r="E5" i="8" s="1"/>
  <c r="D4" i="8"/>
  <c r="E4" i="8" s="1"/>
  <c r="E3" i="8"/>
  <c r="D3" i="8"/>
  <c r="D2" i="8"/>
  <c r="E2" i="8" s="1"/>
  <c r="E13" i="7"/>
  <c r="D13" i="7"/>
  <c r="D12" i="7"/>
  <c r="E12" i="7" s="1"/>
  <c r="D11" i="7"/>
  <c r="E11" i="7" s="1"/>
  <c r="D10" i="7"/>
  <c r="E10" i="7" s="1"/>
  <c r="D9" i="7"/>
  <c r="E9" i="7" s="1"/>
  <c r="E8" i="7"/>
  <c r="D8" i="7"/>
  <c r="D7" i="7"/>
  <c r="E7" i="7" s="1"/>
  <c r="D6" i="7"/>
  <c r="E6" i="7" s="1"/>
  <c r="E5" i="7"/>
  <c r="D5" i="7"/>
  <c r="D4" i="7"/>
  <c r="E4" i="7" s="1"/>
  <c r="D3" i="7"/>
  <c r="E3" i="7" s="1"/>
  <c r="D2" i="7"/>
  <c r="E2" i="7" s="1"/>
  <c r="H13" i="9"/>
  <c r="L13" i="9" s="1"/>
  <c r="D13" i="9"/>
  <c r="E13" i="9" s="1"/>
  <c r="L12" i="9"/>
  <c r="D12" i="9"/>
  <c r="E12" i="9" s="1"/>
  <c r="L11" i="9"/>
  <c r="D11" i="9"/>
  <c r="E11" i="9" s="1"/>
  <c r="H10" i="9"/>
  <c r="L10" i="9" s="1"/>
  <c r="D10" i="9"/>
  <c r="E10" i="9" s="1"/>
  <c r="H9" i="9"/>
  <c r="L9" i="9" s="1"/>
  <c r="D9" i="9"/>
  <c r="E9" i="9" s="1"/>
  <c r="H8" i="9"/>
  <c r="L8" i="9" s="1"/>
  <c r="D8" i="9"/>
  <c r="E8" i="9" s="1"/>
  <c r="H7" i="9"/>
  <c r="L7" i="9" s="1"/>
  <c r="D7" i="9"/>
  <c r="E7" i="9" s="1"/>
  <c r="H6" i="9"/>
  <c r="L6" i="9" s="1"/>
  <c r="D6" i="9"/>
  <c r="E6" i="9" s="1"/>
  <c r="H5" i="9"/>
  <c r="L5" i="9" s="1"/>
  <c r="D5" i="9"/>
  <c r="E5" i="9" s="1"/>
  <c r="H4" i="9"/>
  <c r="L4" i="9" s="1"/>
  <c r="D4" i="9"/>
  <c r="E4" i="9" s="1"/>
  <c r="H3" i="9"/>
  <c r="L3" i="9" s="1"/>
  <c r="D3" i="9"/>
  <c r="E3" i="9" s="1"/>
  <c r="H2" i="9"/>
  <c r="L2" i="9" s="1"/>
  <c r="D2" i="9"/>
  <c r="E2" i="9" s="1"/>
</calcChain>
</file>

<file path=xl/sharedStrings.xml><?xml version="1.0" encoding="utf-8"?>
<sst xmlns="http://schemas.openxmlformats.org/spreadsheetml/2006/main" count="232" uniqueCount="95">
  <si>
    <t>/</t>
  </si>
  <si>
    <t>MIBG</t>
  </si>
  <si>
    <t>Indication</t>
  </si>
  <si>
    <t>Radionucléide</t>
  </si>
  <si>
    <t>NaI</t>
  </si>
  <si>
    <t>Radiopharmaceutique</t>
  </si>
  <si>
    <t>Produit radioactif</t>
  </si>
  <si>
    <t>Produit radioactif_List</t>
  </si>
  <si>
    <t>DOTATATE</t>
  </si>
  <si>
    <t>PSMA</t>
  </si>
  <si>
    <t>Microsphères</t>
  </si>
  <si>
    <t>Thyroïde : cancer</t>
  </si>
  <si>
    <t>Thyroïde : affection bénigne</t>
  </si>
  <si>
    <t>Schildklier : goedaardige aandoeningen</t>
  </si>
  <si>
    <t>Schildklier : kanker</t>
  </si>
  <si>
    <t>Colloid</t>
  </si>
  <si>
    <t>Microsfeertjes</t>
  </si>
  <si>
    <t>Thyroid : cancer</t>
  </si>
  <si>
    <t>Thyroid : benign disease</t>
  </si>
  <si>
    <t>T1/2 physique [days]</t>
  </si>
  <si>
    <t>T1/2 biologique [days]</t>
  </si>
  <si>
    <t>Excrétion [%]</t>
  </si>
  <si>
    <t>Acitivité max. au moment de la crémation [MBq]</t>
  </si>
  <si>
    <t>Délai avec excrétion [days]</t>
  </si>
  <si>
    <t>T1/2 effective [days]</t>
  </si>
  <si>
    <t>Activité typique [MBq]</t>
  </si>
  <si>
    <t>Implantaten</t>
  </si>
  <si>
    <t>Implants</t>
  </si>
  <si>
    <t>[Y-90] - Colloid</t>
  </si>
  <si>
    <t>[I-125] - Implantaten</t>
  </si>
  <si>
    <t>[I-131] - NaI</t>
  </si>
  <si>
    <t>[I-131] - MIBG</t>
  </si>
  <si>
    <t>[I-125] - Implants</t>
  </si>
  <si>
    <r>
      <t>[Ra-223] - Xofigo</t>
    </r>
    <r>
      <rPr>
        <sz val="11"/>
        <color theme="1"/>
        <rFont val="Calibri"/>
        <family val="2"/>
      </rPr>
      <t>®</t>
    </r>
  </si>
  <si>
    <r>
      <t>[Y-90] - Zevalin</t>
    </r>
    <r>
      <rPr>
        <sz val="11"/>
        <color theme="1"/>
        <rFont val="Calibri"/>
        <family val="2"/>
      </rPr>
      <t>®</t>
    </r>
  </si>
  <si>
    <r>
      <t>[Sm-153] - Quadramet</t>
    </r>
    <r>
      <rPr>
        <sz val="11"/>
        <color theme="1"/>
        <rFont val="Calibri"/>
        <family val="2"/>
      </rPr>
      <t>®</t>
    </r>
  </si>
  <si>
    <t>[Y-90] - Colloïdales</t>
  </si>
  <si>
    <t>[Y-90]</t>
  </si>
  <si>
    <t>[I-125]</t>
  </si>
  <si>
    <t>[I-131]</t>
  </si>
  <si>
    <t>[Sm-153]</t>
  </si>
  <si>
    <t>[Ho-166]</t>
  </si>
  <si>
    <t>[Lu-177]</t>
  </si>
  <si>
    <t>[Ra-223]</t>
  </si>
  <si>
    <t>Quadramet®</t>
  </si>
  <si>
    <t>Xofigo®</t>
  </si>
  <si>
    <t>Zevalin®</t>
  </si>
  <si>
    <t>Kolloide</t>
  </si>
  <si>
    <t>Implantate</t>
  </si>
  <si>
    <t>Mikrosphären</t>
  </si>
  <si>
    <t xml:space="preserve">Schilddrüse : Krebs </t>
  </si>
  <si>
    <t>Schilddrüse : gutartige Krankheiten</t>
  </si>
  <si>
    <t>[I-125] - Implantate</t>
  </si>
  <si>
    <t>[Y-90] - Kolloide</t>
  </si>
  <si>
    <t>[Y-90] - Mikrosphären</t>
  </si>
  <si>
    <t>[Ho-166] - Mikrosphären</t>
  </si>
  <si>
    <t>[Lu-177] - DOTATATE</t>
  </si>
  <si>
    <t>[Lu-177] - PSMA</t>
  </si>
  <si>
    <t>[Ho-166] - Microsfeertjes</t>
  </si>
  <si>
    <t>[Y-90] - Microsfeertjes</t>
  </si>
  <si>
    <t>[Ho-166] - Microsphères</t>
  </si>
  <si>
    <t>[Y-90] - Microsphères</t>
  </si>
  <si>
    <t>Période de précaution</t>
  </si>
  <si>
    <t>Vorsorgezeit</t>
  </si>
  <si>
    <t>Colloïdales</t>
  </si>
  <si>
    <t>DOTATAAT</t>
  </si>
  <si>
    <t>[Lu-177] - DOTATAAT</t>
  </si>
  <si>
    <t>Microspheres</t>
  </si>
  <si>
    <t>[Ho-166] - Microspheres</t>
  </si>
  <si>
    <t>[Y-90] - Microspheres</t>
  </si>
  <si>
    <t>Radioactive product:</t>
  </si>
  <si>
    <t>Administered activity:</t>
  </si>
  <si>
    <t>Date of administration:</t>
  </si>
  <si>
    <t>Produit radioactif :</t>
  </si>
  <si>
    <t>Date d'administration :</t>
  </si>
  <si>
    <t>Activité administrée :</t>
  </si>
  <si>
    <t>Période de précaution :</t>
  </si>
  <si>
    <t>Radioactief product:</t>
  </si>
  <si>
    <t>Toegediende activiteit:</t>
  </si>
  <si>
    <t>Datum van toediening:</t>
  </si>
  <si>
    <t>Radioaktives Produkt:</t>
  </si>
  <si>
    <t>Verabreichten Aktivität:</t>
  </si>
  <si>
    <t>Datum der Verabreichung:</t>
  </si>
  <si>
    <t>Vorsorgezeit:</t>
  </si>
  <si>
    <t>Precaution period</t>
  </si>
  <si>
    <t>End date:</t>
  </si>
  <si>
    <t>Precaution period:</t>
  </si>
  <si>
    <t>Date de fin :</t>
  </si>
  <si>
    <t>Version 17/08/2020</t>
  </si>
  <si>
    <t>Fassung 17/08/2020</t>
  </si>
  <si>
    <t>Versie 17/08/2020</t>
  </si>
  <si>
    <t>Einddatum:</t>
  </si>
  <si>
    <t>Voorzichtigheidsperiode</t>
  </si>
  <si>
    <t>Voorzichtigheidsperiode:</t>
  </si>
  <si>
    <t>Enddatum: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</si>
</sst>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1" fillId="3" borderId="0" xfId="0" applyFont="1" applyFill="1"/>
    <xf numFmtId="0" fontId="2" fillId="0" borderId="0" xfId="0" applyFont="1" applyBorder="1" applyAlignment="1">
      <alignment horizont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/>
    <xf numFmtId="0" fontId="1" fillId="3" borderId="0" xfId="0" applyFont="1" applyFill="1" applyAlignment="1">
      <alignment wrapText="1"/>
    </xf>
    <xf numFmtId="1" fontId="0" fillId="0" borderId="0" xfId="0" applyNumberFormat="1"/>
    <xf numFmtId="0" fontId="8" fillId="0" borderId="0" xfId="0" applyFont="1" applyBorder="1" applyAlignment="1"/>
    <xf numFmtId="0" fontId="0" fillId="0" borderId="6" xfId="0" applyBorder="1"/>
    <xf numFmtId="0" fontId="5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0" xfId="0" applyNumberFormat="1"/>
    <xf numFmtId="0" fontId="10" fillId="0" borderId="0" xfId="0" applyFont="1"/>
    <xf numFmtId="2" fontId="10" fillId="0" borderId="0" xfId="0" applyNumberFormat="1" applyFont="1"/>
    <xf numFmtId="1" fontId="10" fillId="0" borderId="0" xfId="0" applyNumberFormat="1" applyFont="1"/>
    <xf numFmtId="11" fontId="0" fillId="0" borderId="0" xfId="0" applyNumberFormat="1"/>
    <xf numFmtId="11" fontId="10" fillId="0" borderId="0" xfId="0" applyNumberFormat="1" applyFont="1"/>
    <xf numFmtId="0" fontId="3" fillId="0" borderId="4" xfId="0" applyFont="1" applyBorder="1" applyAlignment="1">
      <alignment horizontal="left" vertical="center" indent="1"/>
    </xf>
    <xf numFmtId="0" fontId="3" fillId="0" borderId="4" xfId="0" applyFont="1" applyBorder="1" applyAlignment="1" applyProtection="1">
      <alignment horizontal="left" vertical="center" wrapText="1" indent="1"/>
      <protection hidden="1"/>
    </xf>
    <xf numFmtId="0" fontId="0" fillId="0" borderId="4" xfId="0" applyBorder="1" applyAlignment="1">
      <alignment horizontal="left" indent="1"/>
    </xf>
    <xf numFmtId="0" fontId="9" fillId="0" borderId="4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/>
    <xf numFmtId="0" fontId="2" fillId="0" borderId="5" xfId="0" applyFont="1" applyBorder="1" applyAlignment="1"/>
    <xf numFmtId="14" fontId="4" fillId="2" borderId="0" xfId="0" applyNumberFormat="1" applyFont="1" applyFill="1" applyBorder="1" applyAlignment="1" applyProtection="1">
      <alignment horizontal="left" vertical="center" wrapText="1"/>
      <protection hidden="1"/>
    </xf>
    <xf numFmtId="14" fontId="4" fillId="2" borderId="5" xfId="0" applyNumberFormat="1" applyFont="1" applyFill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" fontId="4" fillId="2" borderId="0" xfId="0" applyNumberFormat="1" applyFont="1" applyFill="1" applyBorder="1" applyAlignment="1" applyProtection="1">
      <alignment horizontal="left" vertical="center" wrapText="1"/>
      <protection hidden="1"/>
    </xf>
    <xf numFmtId="1" fontId="4" fillId="2" borderId="5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/>
  </cellXfs>
  <cellStyles count="1">
    <cellStyle name="Normal" xfId="0" builtinId="0"/>
  </cellStyles>
  <dxfs count="44"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8F373-8431-42BA-84D5-C6E8FEB78CB4}">
  <sheetPr>
    <pageSetUpPr fitToPage="1"/>
  </sheetPr>
  <dimension ref="A1:XFC16"/>
  <sheetViews>
    <sheetView showGridLines="0" tabSelected="1" showWhiteSpace="0" view="pageLayout" zoomScale="220" zoomScaleNormal="175" zoomScaleSheetLayoutView="145" zoomScalePageLayoutView="220" workbookViewId="0">
      <selection activeCell="B4" sqref="B4:F4"/>
    </sheetView>
  </sheetViews>
  <sheetFormatPr defaultColWidth="0" defaultRowHeight="15" customHeight="1" zeroHeight="1" x14ac:dyDescent="0.25"/>
  <cols>
    <col min="1" max="1" width="20.5703125" customWidth="1"/>
    <col min="2" max="2" width="6.7109375" customWidth="1"/>
    <col min="3" max="3" width="2" style="1" customWidth="1"/>
    <col min="4" max="4" width="6.7109375" customWidth="1"/>
    <col min="5" max="5" width="2" style="1" customWidth="1"/>
    <col min="6" max="6" width="8.28515625" customWidth="1"/>
    <col min="7" max="7" width="0.85546875" customWidth="1"/>
    <col min="8" max="16377" width="9.140625" hidden="1"/>
    <col min="16378" max="16378" width="9.140625" style="3" hidden="1" customWidth="1"/>
    <col min="16379" max="16383" width="9.140625" style="3" hidden="1"/>
    <col min="16384" max="16384" width="2.42578125" style="3" hidden="1"/>
  </cols>
  <sheetData>
    <row r="1" spans="1:9" ht="15" customHeight="1" x14ac:dyDescent="0.25">
      <c r="A1" s="28" t="s">
        <v>84</v>
      </c>
      <c r="B1" s="29"/>
      <c r="C1" s="29"/>
      <c r="D1" s="29"/>
      <c r="E1" s="29"/>
      <c r="F1" s="30"/>
      <c r="G1" s="3"/>
    </row>
    <row r="2" spans="1:9" ht="15" customHeight="1" x14ac:dyDescent="0.25">
      <c r="A2" s="31"/>
      <c r="B2" s="32"/>
      <c r="C2" s="32"/>
      <c r="D2" s="32"/>
      <c r="E2" s="32"/>
      <c r="F2" s="33"/>
      <c r="G2" s="3"/>
    </row>
    <row r="3" spans="1:9" ht="15" customHeight="1" x14ac:dyDescent="0.25">
      <c r="A3" s="15"/>
      <c r="B3" s="47"/>
      <c r="C3" s="47"/>
      <c r="D3" s="47"/>
      <c r="E3" s="47"/>
      <c r="F3" s="48"/>
      <c r="G3" s="3"/>
    </row>
    <row r="4" spans="1:9" ht="15" customHeight="1" x14ac:dyDescent="0.25">
      <c r="A4" s="24" t="s">
        <v>70</v>
      </c>
      <c r="B4" s="34"/>
      <c r="C4" s="35"/>
      <c r="D4" s="35"/>
      <c r="E4" s="35"/>
      <c r="F4" s="36"/>
      <c r="G4" s="3"/>
    </row>
    <row r="5" spans="1:9" ht="15" customHeight="1" x14ac:dyDescent="0.25">
      <c r="A5" s="25" t="str">
        <f>IF(B4="[I-131] - NaI","Indication :","")</f>
        <v/>
      </c>
      <c r="B5" s="37"/>
      <c r="C5" s="37"/>
      <c r="D5" s="37"/>
      <c r="E5" s="37"/>
      <c r="F5" s="38"/>
      <c r="G5" s="3"/>
    </row>
    <row r="6" spans="1:9" ht="15" customHeight="1" x14ac:dyDescent="0.25">
      <c r="A6" s="24" t="s">
        <v>71</v>
      </c>
      <c r="B6" s="39"/>
      <c r="C6" s="40"/>
      <c r="D6" s="8"/>
      <c r="E6" s="41"/>
      <c r="F6" s="42"/>
      <c r="G6" s="3"/>
    </row>
    <row r="7" spans="1:9" ht="15" customHeight="1" x14ac:dyDescent="0.25">
      <c r="A7" s="24" t="s">
        <v>72</v>
      </c>
      <c r="B7" s="6"/>
      <c r="C7" s="16" t="s">
        <v>0</v>
      </c>
      <c r="D7" s="6"/>
      <c r="E7" s="17" t="s">
        <v>0</v>
      </c>
      <c r="F7" s="7"/>
      <c r="G7" s="3"/>
    </row>
    <row r="8" spans="1:9" ht="15" customHeight="1" x14ac:dyDescent="0.25">
      <c r="A8" s="26"/>
      <c r="B8" s="49"/>
      <c r="C8" s="49"/>
      <c r="D8" s="49"/>
      <c r="E8" s="49"/>
      <c r="F8" s="50"/>
    </row>
    <row r="9" spans="1:9" ht="15" customHeight="1" x14ac:dyDescent="0.25">
      <c r="A9" s="24" t="s">
        <v>86</v>
      </c>
      <c r="B9" s="51" t="str">
        <f ca="1">IF(OR($B$4="",IF(AND($B$4="[I-131] - NaI",$B$5=""),TRUE,FALSE),$B$6="",$D$6=""),"",
IF(LN(($B$6*IF($D$6="mCi",37,1)*(1-INDIRECT("DataEN!I"&amp;MATCH($B$4&amp;IF($B$4="[I-131] - NaI",$B$5,""),DataEN!$E$2:$E$13,0)+1)/100))/INDIRECT("DataEN!J"&amp;MATCH($B$4&amp;IF($B$4="[I-131] - NaI",$B$5,""),DataEN!$E$2:$E$13,0)+1)) &lt;= 0,
0,
ROUND(
LN(($B$6*IF($D$6="mCi",37,1)*
(1-INDIRECT("DataEN!I"&amp;MATCH($B$4&amp;IF($B$4="[I-131] - NaI",$B$5,""),DataEN!$E$2:$E$13,0)+1)/100))/
INDIRECT("DataEN!J"&amp;MATCH($B$4&amp;IF($B$4="[I-131] - NaI",$B$5,""),DataEN!$E$2:$E$13,0)+1))*
INDIRECT("DataEN!H"&amp;MATCH($B$4&amp;IF($B$4="[I-131] - NaI",$B$5,""),DataEN!$E$2:$E$13,0)+1)/LN(2),0) )
&amp; " day(s)")</f>
        <v/>
      </c>
      <c r="C9" s="51"/>
      <c r="D9" s="51"/>
      <c r="E9" s="51"/>
      <c r="F9" s="52"/>
    </row>
    <row r="10" spans="1:9" ht="15" customHeight="1" x14ac:dyDescent="0.25">
      <c r="A10" s="24" t="s">
        <v>85</v>
      </c>
      <c r="B10" s="43" t="str">
        <f ca="1">IF(OR($B$4="",IF(AND($B$4 = "[I-131] - NaI",$B$5=""),TRUE,FALSE),$B$6="",$D$6="",$B$7="",$D$7="",$F$7=""),"",
IF(LN(($B$6*IF($D$6="mCi",37,1)*(1-INDIRECT("DataEN!I"&amp;MATCH($B$4 &amp; IF($B$4 = "[I-131] - NaI",$B$5,""),DataEN!$E$2:$E$13,0)+1)/100))/INDIRECT("DataEN!J"&amp;MATCH($B$4 &amp; IF($B$4 = "[I-131] - NaI",$B$5,""),DataEN!$E$2:$E$13,0)+1)) &lt;= 0,
DATE($F$7,$D$7,$B$7),
DATE(
YEAR(DATE($F$7,$D$7,$B$7)+ROUND(VALUE(SUBSTITUTE($B$9," day(s)","")),0)),
MONTH(DATE($F$7,$D$7,$B$7)+ROUND(VALUE(SUBSTITUTE($B$9," day(s)","")),0)),
DAY(DATE($F$7,$D$7,$B$7)+ROUND(VALUE(SUBSTITUTE($B$9," day(s)","")),0)))))</f>
        <v/>
      </c>
      <c r="C10" s="43"/>
      <c r="D10" s="43"/>
      <c r="E10" s="43"/>
      <c r="F10" s="44"/>
    </row>
    <row r="11" spans="1:9" ht="15" customHeight="1" x14ac:dyDescent="0.25">
      <c r="A11" s="2"/>
      <c r="B11" s="49"/>
      <c r="C11" s="49"/>
      <c r="D11" s="49"/>
      <c r="E11" s="49"/>
      <c r="F11" s="50"/>
    </row>
    <row r="12" spans="1:9" ht="15" customHeight="1" x14ac:dyDescent="0.25">
      <c r="A12" s="14"/>
      <c r="B12" s="45" t="s">
        <v>88</v>
      </c>
      <c r="C12" s="45"/>
      <c r="D12" s="45"/>
      <c r="E12" s="45"/>
      <c r="F12" s="46"/>
      <c r="G12" s="13"/>
      <c r="H12" s="13"/>
      <c r="I12" s="13"/>
    </row>
    <row r="13" spans="1:9" ht="7.5" customHeight="1" x14ac:dyDescent="0.25"/>
    <row r="14" spans="1:9" ht="15" hidden="1" customHeight="1" x14ac:dyDescent="0.25"/>
    <row r="15" spans="1:9" ht="15" hidden="1" customHeight="1" x14ac:dyDescent="0.25"/>
    <row r="16" spans="1:9" hidden="1" x14ac:dyDescent="0.25"/>
  </sheetData>
  <sheetProtection algorithmName="SHA-512" hashValue="sSh0jBy+ehypl0hXMTN7GVNXb88xkBNMED2v1kI+NaV4s3YW97XcDXQk924MswJlKmutSzfhUnMRHL+lUTAhDQ==" saltValue="GI6YaCPhU49wOZik62YtEA==" spinCount="100000" sheet="1" objects="1" scenarios="1"/>
  <mergeCells count="11">
    <mergeCell ref="B10:F10"/>
    <mergeCell ref="B12:F12"/>
    <mergeCell ref="B3:F3"/>
    <mergeCell ref="B8:F8"/>
    <mergeCell ref="B11:F11"/>
    <mergeCell ref="B9:F9"/>
    <mergeCell ref="A1:F2"/>
    <mergeCell ref="B4:F4"/>
    <mergeCell ref="B5:F5"/>
    <mergeCell ref="B6:C6"/>
    <mergeCell ref="E6:F6"/>
  </mergeCells>
  <conditionalFormatting sqref="B5:F5">
    <cfRule type="expression" dxfId="43" priority="9">
      <formula>B4 = "[I-131] - NaI"</formula>
    </cfRule>
    <cfRule type="expression" dxfId="42" priority="10">
      <formula>B4 &lt;&gt; "[I-131] - NaI"</formula>
    </cfRule>
    <cfRule type="expression" dxfId="41" priority="15">
      <formula>AND(B4 = "[I-131] - NaI", B5 = "")</formula>
    </cfRule>
  </conditionalFormatting>
  <conditionalFormatting sqref="B10">
    <cfRule type="containsBlanks" dxfId="40" priority="8">
      <formula>LEN(TRIM(B10))=0</formula>
    </cfRule>
  </conditionalFormatting>
  <conditionalFormatting sqref="B9">
    <cfRule type="containsBlanks" dxfId="39" priority="7">
      <formula>LEN(TRIM(B9))=0</formula>
    </cfRule>
  </conditionalFormatting>
  <conditionalFormatting sqref="B4">
    <cfRule type="containsBlanks" dxfId="38" priority="6">
      <formula>LEN(TRIM(B4))=0</formula>
    </cfRule>
  </conditionalFormatting>
  <conditionalFormatting sqref="D6">
    <cfRule type="containsBlanks" dxfId="37" priority="5">
      <formula>LEN(TRIM(D6))=0</formula>
    </cfRule>
  </conditionalFormatting>
  <conditionalFormatting sqref="B6">
    <cfRule type="containsBlanks" dxfId="36" priority="4">
      <formula>LEN(TRIM(B6))=0</formula>
    </cfRule>
  </conditionalFormatting>
  <conditionalFormatting sqref="F7">
    <cfRule type="containsBlanks" dxfId="35" priority="1">
      <formula>LEN(TRIM(F7))=0</formula>
    </cfRule>
  </conditionalFormatting>
  <conditionalFormatting sqref="D7">
    <cfRule type="containsBlanks" dxfId="34" priority="2">
      <formula>LEN(TRIM(D7))=0</formula>
    </cfRule>
  </conditionalFormatting>
  <conditionalFormatting sqref="B7">
    <cfRule type="containsBlanks" dxfId="33" priority="3">
      <formula>LEN(TRIM(B7))=0</formula>
    </cfRule>
  </conditionalFormatting>
  <dataValidations count="9">
    <dataValidation allowBlank="1" showInputMessage="1" showErrorMessage="1" promptTitle="Precautionary date" prompt="Automatically calculated" sqref="B10:F10" xr:uid="{2E92879B-B57E-4272-906E-7A7333FA4773}"/>
    <dataValidation allowBlank="1" showInputMessage="1" showErrorMessage="1" promptTitle="Precautionary period" prompt="Automatically calculated" sqref="B9:F9" xr:uid="{3D338B2C-75CA-4718-B511-30084B097F9E}"/>
    <dataValidation type="list" allowBlank="1" showInputMessage="1" showErrorMessage="1" promptTitle="Indication                     -" prompt="Select in the list_x000a_Only for [I-131] - NaI" sqref="B5:F5" xr:uid="{34B178EF-87AD-4F58-8FBB-50A5960DD47C}">
      <formula1>IF(B4="[I-131] - NaI",I131NaIEN,EmptyList)</formula1>
    </dataValidation>
    <dataValidation type="decimal" operator="greaterThan" allowBlank="1" showInputMessage="1" showErrorMessage="1" errorTitle="Administered activity" error="Please enter a positive number" promptTitle="Administered activity" prompt="Positive number" sqref="B6:C6" xr:uid="{348C84F8-CD9C-49F8-B851-243B5DFA6F62}">
      <formula1>0</formula1>
    </dataValidation>
    <dataValidation type="list" allowBlank="1" showInputMessage="1" showErrorMessage="1" errorTitle="Administered activity" error="Please select a unit in the list" promptTitle="Units" prompt="Choose in the list" sqref="D6" xr:uid="{82EA467D-778D-4B4D-8EE8-A6E3903BD68B}">
      <formula1>"mCi,MBq"</formula1>
    </dataValidation>
    <dataValidation type="whole" allowBlank="1" showInputMessage="1" showErrorMessage="1" errorTitle="Date of administration" error="Please enter a whole number between 1900 and 2100" promptTitle="Date of administration" prompt="Year" sqref="F7" xr:uid="{E9BA1180-E8B3-47C6-A04B-606B008D49A8}">
      <formula1>1900</formula1>
      <formula2>2100</formula2>
    </dataValidation>
    <dataValidation type="whole" allowBlank="1" showInputMessage="1" showErrorMessage="1" errorTitle="Date of administration" error="Please enter a whole number between 1 and 12" promptTitle="Date of administration" prompt="Month" sqref="D7" xr:uid="{333533DF-242E-40FF-9CFD-CD0C04E0B564}">
      <formula1>1</formula1>
      <formula2>12</formula2>
    </dataValidation>
    <dataValidation type="whole" allowBlank="1" showInputMessage="1" showErrorMessage="1" errorTitle="Date of administration" error="Please enter a whole number between 1 and 31" promptTitle="Date of administration" prompt="Day" sqref="B7" xr:uid="{322CCB85-69F2-41FE-A653-8C8B7359059E}">
      <formula1>1</formula1>
      <formula2>31</formula2>
    </dataValidation>
    <dataValidation type="list" allowBlank="1" showInputMessage="1" showErrorMessage="1" promptTitle="Radioactive product" prompt="Select in de list" sqref="B4:F4" xr:uid="{DA3A768E-513A-4177-9AEC-C9351B23802A}">
      <formula1>ProductListEN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8C0A-6321-4F15-B703-524F075ABFED}">
  <sheetPr codeName="Sheet1">
    <pageSetUpPr fitToPage="1"/>
  </sheetPr>
  <dimension ref="A1:XFC16"/>
  <sheetViews>
    <sheetView showGridLines="0" showWhiteSpace="0" view="pageLayout" zoomScale="220" zoomScaleNormal="175" zoomScaleSheetLayoutView="145" zoomScalePageLayoutView="220" workbookViewId="0">
      <selection activeCell="B4" sqref="B4:F4"/>
    </sheetView>
  </sheetViews>
  <sheetFormatPr defaultColWidth="0" defaultRowHeight="15" zeroHeight="1" x14ac:dyDescent="0.25"/>
  <cols>
    <col min="1" max="1" width="20.5703125" customWidth="1"/>
    <col min="2" max="2" width="6.7109375" customWidth="1"/>
    <col min="3" max="3" width="2" style="1" customWidth="1"/>
    <col min="4" max="4" width="6.7109375" customWidth="1"/>
    <col min="5" max="5" width="2" style="1" customWidth="1"/>
    <col min="6" max="6" width="8.28515625" customWidth="1"/>
    <col min="7" max="7" width="0.85546875" customWidth="1"/>
    <col min="8" max="16377" width="9.140625" hidden="1"/>
    <col min="16378" max="16378" width="9.140625" style="3" hidden="1" customWidth="1"/>
    <col min="16379" max="16383" width="9.140625" style="3" hidden="1"/>
    <col min="16384" max="16384" width="2.42578125" style="3" hidden="1"/>
  </cols>
  <sheetData>
    <row r="1" spans="1:9" ht="15" customHeight="1" x14ac:dyDescent="0.25">
      <c r="A1" s="28" t="s">
        <v>62</v>
      </c>
      <c r="B1" s="29"/>
      <c r="C1" s="29"/>
      <c r="D1" s="29"/>
      <c r="E1" s="29"/>
      <c r="F1" s="30"/>
      <c r="G1" s="3"/>
    </row>
    <row r="2" spans="1:9" ht="15" customHeight="1" x14ac:dyDescent="0.25">
      <c r="A2" s="31"/>
      <c r="B2" s="32"/>
      <c r="C2" s="32"/>
      <c r="D2" s="32"/>
      <c r="E2" s="32"/>
      <c r="F2" s="33"/>
      <c r="G2" s="3"/>
    </row>
    <row r="3" spans="1:9" ht="15" customHeight="1" x14ac:dyDescent="0.25">
      <c r="A3" s="15"/>
      <c r="B3" s="47"/>
      <c r="C3" s="47"/>
      <c r="D3" s="47"/>
      <c r="E3" s="47"/>
      <c r="F3" s="48"/>
      <c r="G3" s="3"/>
    </row>
    <row r="4" spans="1:9" ht="15" customHeight="1" x14ac:dyDescent="0.25">
      <c r="A4" s="24" t="s">
        <v>73</v>
      </c>
      <c r="B4" s="34"/>
      <c r="C4" s="35"/>
      <c r="D4" s="35"/>
      <c r="E4" s="35"/>
      <c r="F4" s="36"/>
      <c r="G4" s="3"/>
    </row>
    <row r="5" spans="1:9" ht="15" customHeight="1" x14ac:dyDescent="0.25">
      <c r="A5" s="25" t="str">
        <f>IF(B4="[I-131] - NaI","Indication :","")</f>
        <v/>
      </c>
      <c r="B5" s="37"/>
      <c r="C5" s="37"/>
      <c r="D5" s="37"/>
      <c r="E5" s="37"/>
      <c r="F5" s="38"/>
      <c r="G5" s="3"/>
    </row>
    <row r="6" spans="1:9" ht="15" customHeight="1" x14ac:dyDescent="0.25">
      <c r="A6" s="24" t="s">
        <v>75</v>
      </c>
      <c r="B6" s="39"/>
      <c r="C6" s="40"/>
      <c r="D6" s="8"/>
      <c r="E6" s="41"/>
      <c r="F6" s="42"/>
      <c r="G6" s="3"/>
    </row>
    <row r="7" spans="1:9" ht="15" customHeight="1" x14ac:dyDescent="0.25">
      <c r="A7" s="24" t="s">
        <v>74</v>
      </c>
      <c r="B7" s="6"/>
      <c r="C7" s="5" t="s">
        <v>0</v>
      </c>
      <c r="D7" s="6"/>
      <c r="E7" s="5" t="s">
        <v>0</v>
      </c>
      <c r="F7" s="7"/>
      <c r="G7" s="3"/>
    </row>
    <row r="8" spans="1:9" ht="15" customHeight="1" x14ac:dyDescent="0.25">
      <c r="A8" s="26"/>
      <c r="B8" s="49"/>
      <c r="C8" s="49"/>
      <c r="D8" s="49"/>
      <c r="E8" s="49"/>
      <c r="F8" s="50"/>
    </row>
    <row r="9" spans="1:9" ht="15" customHeight="1" x14ac:dyDescent="0.25">
      <c r="A9" s="24" t="s">
        <v>76</v>
      </c>
      <c r="B9" s="51" t="str">
        <f ca="1">IF(OR($B$4="",IF(AND($B$4="[I-131] - NaI",$B$5=""),TRUE,FALSE),$B$6="",$D$6=""),"",
IF(LN(($B$6*IF($D$6="mCi",37,1)*(1-INDIRECT("DataFR!I"&amp;MATCH($B$4&amp;IF($B$4="[I-131] - NaI",$B$5,""),DataFR!$E$2:$E$13,0)+1)/100))/INDIRECT("DataFR!J"&amp;MATCH($B$4&amp;IF($B$4="[I-131] - NaI",$B$5,""),DataFR!$E$2:$E$13,0)+1)) &lt;= 0,
0,
ROUND(
LN(($B$6*IF($D$6="mCi",37,1)*
(1-INDIRECT("DataFR!I"&amp;MATCH($B$4&amp;IF($B$4="[I-131] - NaI",$B$5,""),DataFR!$E$2:$E$13,0)+1)/100))/
INDIRECT("DataFR!J"&amp;MATCH($B$4&amp;IF($B$4="[I-131] - NaI",$B$5,""),DataFR!$E$2:$E$13,0)+1))*
INDIRECT("DataFR!H"&amp;MATCH($B$4&amp;IF($B$4="[I-131] - NaI",$B$5,""),DataFR!$E$2:$E$13,0)+1)/LN(2),0) )
&amp; " jour(s)")</f>
        <v/>
      </c>
      <c r="C9" s="51"/>
      <c r="D9" s="51"/>
      <c r="E9" s="51"/>
      <c r="F9" s="52"/>
    </row>
    <row r="10" spans="1:9" ht="15" customHeight="1" x14ac:dyDescent="0.25">
      <c r="A10" s="24" t="s">
        <v>87</v>
      </c>
      <c r="B10" s="43" t="str">
        <f ca="1">IF(OR($B$4="",IF(AND($B$4 = "[I-131] - NaI",$B$5=""),TRUE,FALSE),$B$6="",$D$6="",$B$7="",$D$7="",$F$7=""),"",
IF(LN(($B$6*IF($D$6="mCi",37,1)*(1-INDIRECT("DataFR!I"&amp;MATCH($B$4 &amp; IF($B$4 = "[I-131] - NaI",$B$5,""),DataFR!$E$2:$E$13,0)+1)/100))/INDIRECT("DataFR!J"&amp;MATCH($B$4 &amp; IF($B$4 = "[I-131] - NaI",$B$5,""),DataFR!$E$2:$E$13,0)+1)) &lt;= 0,
DATE($F$7,$D$7,$B$7),
DATE(
YEAR(DATE($F$7,$D$7,$B$7)+ROUND(VALUE(SUBSTITUTE($B$9," jour(s)","")),0)),
MONTH(DATE($F$7,$D$7,$B$7)+ROUND(VALUE(SUBSTITUTE($B$9," jour(s)","")),0)),
DAY(DATE($F$7,$D$7,$B$7)+ROUND(VALUE(SUBSTITUTE($B$9," jour(s)","")),0)))))</f>
        <v/>
      </c>
      <c r="C10" s="43"/>
      <c r="D10" s="43"/>
      <c r="E10" s="43"/>
      <c r="F10" s="44"/>
    </row>
    <row r="11" spans="1:9" ht="15" customHeight="1" x14ac:dyDescent="0.25">
      <c r="A11" s="2"/>
      <c r="B11" s="49"/>
      <c r="C11" s="49"/>
      <c r="D11" s="49"/>
      <c r="E11" s="49"/>
      <c r="F11" s="50"/>
    </row>
    <row r="12" spans="1:9" ht="15" customHeight="1" x14ac:dyDescent="0.25">
      <c r="A12" s="14"/>
      <c r="B12" s="45" t="s">
        <v>88</v>
      </c>
      <c r="C12" s="45"/>
      <c r="D12" s="45"/>
      <c r="E12" s="45"/>
      <c r="F12" s="46"/>
      <c r="G12" s="13"/>
      <c r="H12" s="13"/>
      <c r="I12" s="13"/>
    </row>
    <row r="13" spans="1:9" ht="7.5" customHeight="1" x14ac:dyDescent="0.25"/>
    <row r="14" spans="1:9" ht="15" hidden="1" customHeight="1" x14ac:dyDescent="0.25"/>
    <row r="15" spans="1:9" ht="15" hidden="1" customHeight="1" x14ac:dyDescent="0.25"/>
    <row r="16" spans="1:9" hidden="1" x14ac:dyDescent="0.25"/>
  </sheetData>
  <sheetProtection algorithmName="SHA-512" hashValue="tjlBK1c5chTpYd+eoCeh+PzyCTv5MjHBg/fmvke7jMqkmtWduV1e6Hskyo0imUoxMY7ctIa5O3c/9gFB2paLtQ==" saltValue="Quee5asLe5TfJVCaaNNfzg==" spinCount="100000" sheet="1" objects="1" scenarios="1"/>
  <mergeCells count="11">
    <mergeCell ref="B12:F12"/>
    <mergeCell ref="B9:F9"/>
    <mergeCell ref="B11:F11"/>
    <mergeCell ref="B10:F10"/>
    <mergeCell ref="B8:F8"/>
    <mergeCell ref="A1:F2"/>
    <mergeCell ref="B5:F5"/>
    <mergeCell ref="B6:C6"/>
    <mergeCell ref="E6:F6"/>
    <mergeCell ref="B4:F4"/>
    <mergeCell ref="B3:F3"/>
  </mergeCells>
  <conditionalFormatting sqref="B5:F5">
    <cfRule type="expression" dxfId="32" priority="7">
      <formula>B4 = "[I-131] - NaI"</formula>
    </cfRule>
    <cfRule type="expression" dxfId="31" priority="8">
      <formula>B4 &lt;&gt; "[I-131] - NaI"</formula>
    </cfRule>
    <cfRule type="expression" dxfId="30" priority="17">
      <formula>AND(B4 = "[I-131] - NaI", B5 = "")</formula>
    </cfRule>
  </conditionalFormatting>
  <conditionalFormatting sqref="D6">
    <cfRule type="containsBlanks" dxfId="29" priority="19">
      <formula>LEN(TRIM(D6))=0</formula>
    </cfRule>
  </conditionalFormatting>
  <conditionalFormatting sqref="B6">
    <cfRule type="containsBlanks" dxfId="28" priority="16">
      <formula>LEN(TRIM(B6))=0</formula>
    </cfRule>
  </conditionalFormatting>
  <conditionalFormatting sqref="B7">
    <cfRule type="containsBlanks" dxfId="27" priority="15">
      <formula>LEN(TRIM(B7))=0</formula>
    </cfRule>
  </conditionalFormatting>
  <conditionalFormatting sqref="D7">
    <cfRule type="containsBlanks" dxfId="26" priority="14">
      <formula>LEN(TRIM(D7))=0</formula>
    </cfRule>
  </conditionalFormatting>
  <conditionalFormatting sqref="F7">
    <cfRule type="containsBlanks" dxfId="25" priority="13">
      <formula>LEN(TRIM(F7))=0</formula>
    </cfRule>
  </conditionalFormatting>
  <conditionalFormatting sqref="B4">
    <cfRule type="containsBlanks" dxfId="24" priority="28">
      <formula>LEN(TRIM(B4))=0</formula>
    </cfRule>
  </conditionalFormatting>
  <conditionalFormatting sqref="B10">
    <cfRule type="containsBlanks" dxfId="23" priority="2">
      <formula>LEN(TRIM(B10))=0</formula>
    </cfRule>
  </conditionalFormatting>
  <conditionalFormatting sqref="B9">
    <cfRule type="containsBlanks" dxfId="22" priority="1">
      <formula>LEN(TRIM(B9))=0</formula>
    </cfRule>
  </conditionalFormatting>
  <dataValidations count="9">
    <dataValidation type="whole" allowBlank="1" showInputMessage="1" showErrorMessage="1" errorTitle="Date of administration" error="Please enter a whole number between 1900 and 2100" promptTitle="Date d'administration" prompt="Année" sqref="F7" xr:uid="{27C4FD7A-C3A7-4FC6-8EBC-701D7ED384F5}">
      <formula1>1900</formula1>
      <formula2>2100</formula2>
    </dataValidation>
    <dataValidation type="whole" allowBlank="1" showInputMessage="1" showErrorMessage="1" errorTitle="Date of administration" error="Please enter a whole number between 1 and 12" promptTitle="Date d'administration" prompt="Mois" sqref="D7" xr:uid="{6261127E-FCA4-427D-834A-C11C3460387C}">
      <formula1>1</formula1>
      <formula2>12</formula2>
    </dataValidation>
    <dataValidation type="whole" allowBlank="1" showInputMessage="1" showErrorMessage="1" errorTitle="Date of administration" error="Please enter a whole number between 1 and 31" promptTitle="Date d'administration" prompt="Jour" sqref="B7" xr:uid="{6D329F8F-B67D-4E8E-818D-2B451FABCC91}">
      <formula1>1</formula1>
      <formula2>31</formula2>
    </dataValidation>
    <dataValidation type="list" allowBlank="1" showInputMessage="1" showErrorMessage="1" errorTitle="Administered activity" error="Please select a unit in the list" promptTitle="Unités" prompt="Choisir dans la liste" sqref="D6" xr:uid="{1BF92878-848D-45E7-84D3-0B00B3D6FD37}">
      <formula1>"mCi,MBq"</formula1>
    </dataValidation>
    <dataValidation type="list" allowBlank="1" showInputMessage="1" showErrorMessage="1" promptTitle="Indication                     -" prompt="Choisir dans la liste_x000a_Seulement pour [I-131] - NaI" sqref="B5:F5" xr:uid="{E1D1F1FC-62F4-4EBA-92FA-DF6BCEECB3E8}">
      <formula1>IF(B4="[I-131] - NaI",I131NaIFR,EmptyList)</formula1>
    </dataValidation>
    <dataValidation type="decimal" operator="greaterThan" allowBlank="1" showInputMessage="1" showErrorMessage="1" promptTitle="Activité administrée" prompt="Nombre positif" sqref="B6:C6" xr:uid="{AD5A606B-189F-4BFA-9FC5-2823DED89D0E}">
      <formula1>0</formula1>
    </dataValidation>
    <dataValidation type="list" allowBlank="1" showInputMessage="1" showErrorMessage="1" promptTitle="Produit radiopharmaceutique" prompt="Choisir dans la liste" sqref="B4:F4" xr:uid="{2449A5C6-278A-4D94-8D3B-5510C277C4B5}">
      <formula1>ProductListFR</formula1>
    </dataValidation>
    <dataValidation allowBlank="1" showInputMessage="1" showErrorMessage="1" promptTitle="Precautionary period" prompt="Automatically calculated" sqref="B9:F9" xr:uid="{BEF5116F-5D0B-4504-BA4A-7647D5BE4057}"/>
    <dataValidation allowBlank="1" showInputMessage="1" showErrorMessage="1" promptTitle="Precautionary date" prompt="Automatically calculated" sqref="B10:F10" xr:uid="{19495663-1C92-455C-B78F-8C879C29A8B8}"/>
  </dataValidation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C470-7868-46D3-9ED8-7986C6BC845B}">
  <sheetPr>
    <pageSetUpPr fitToPage="1"/>
  </sheetPr>
  <dimension ref="A1:XFC16"/>
  <sheetViews>
    <sheetView showGridLines="0" showWhiteSpace="0" view="pageLayout" zoomScale="220" zoomScaleNormal="175" zoomScaleSheetLayoutView="145" zoomScalePageLayoutView="220" workbookViewId="0">
      <selection activeCell="B4" sqref="B4:F4"/>
    </sheetView>
  </sheetViews>
  <sheetFormatPr defaultColWidth="0" defaultRowHeight="15" customHeight="1" zeroHeight="1" x14ac:dyDescent="0.25"/>
  <cols>
    <col min="1" max="1" width="20.5703125" customWidth="1"/>
    <col min="2" max="2" width="6.7109375" customWidth="1"/>
    <col min="3" max="3" width="2" style="1" customWidth="1"/>
    <col min="4" max="4" width="6.7109375" customWidth="1"/>
    <col min="5" max="5" width="2" style="1" customWidth="1"/>
    <col min="6" max="6" width="8.28515625" customWidth="1"/>
    <col min="7" max="7" width="0.85546875" customWidth="1"/>
    <col min="8" max="16377" width="9.140625" hidden="1"/>
    <col min="16378" max="16378" width="9.140625" style="3" hidden="1" customWidth="1"/>
    <col min="16379" max="16383" width="9.140625" style="3" hidden="1"/>
    <col min="16384" max="16384" width="2.42578125" style="3" hidden="1"/>
  </cols>
  <sheetData>
    <row r="1" spans="1:9" ht="15" customHeight="1" x14ac:dyDescent="0.25">
      <c r="A1" s="28" t="s">
        <v>92</v>
      </c>
      <c r="B1" s="29"/>
      <c r="C1" s="29"/>
      <c r="D1" s="29"/>
      <c r="E1" s="29"/>
      <c r="F1" s="30"/>
      <c r="G1" s="3"/>
    </row>
    <row r="2" spans="1:9" ht="15" customHeight="1" x14ac:dyDescent="0.25">
      <c r="A2" s="31"/>
      <c r="B2" s="32"/>
      <c r="C2" s="32"/>
      <c r="D2" s="32"/>
      <c r="E2" s="32"/>
      <c r="F2" s="33"/>
      <c r="G2" s="3"/>
    </row>
    <row r="3" spans="1:9" ht="15" customHeight="1" x14ac:dyDescent="0.25">
      <c r="A3" s="15"/>
      <c r="B3" s="47"/>
      <c r="C3" s="47"/>
      <c r="D3" s="47"/>
      <c r="E3" s="47"/>
      <c r="F3" s="48"/>
      <c r="G3" s="3"/>
    </row>
    <row r="4" spans="1:9" ht="15" customHeight="1" x14ac:dyDescent="0.25">
      <c r="A4" s="24" t="s">
        <v>77</v>
      </c>
      <c r="B4" s="34"/>
      <c r="C4" s="35"/>
      <c r="D4" s="35"/>
      <c r="E4" s="35"/>
      <c r="F4" s="36"/>
      <c r="G4" s="3"/>
    </row>
    <row r="5" spans="1:9" ht="15" customHeight="1" x14ac:dyDescent="0.25">
      <c r="A5" s="25" t="str">
        <f>IF(B4="[I-131] - NaI","Indicatie :","")</f>
        <v/>
      </c>
      <c r="B5" s="37"/>
      <c r="C5" s="37"/>
      <c r="D5" s="37"/>
      <c r="E5" s="37"/>
      <c r="F5" s="38"/>
      <c r="G5" s="3"/>
    </row>
    <row r="6" spans="1:9" ht="15" customHeight="1" x14ac:dyDescent="0.25">
      <c r="A6" s="24" t="s">
        <v>78</v>
      </c>
      <c r="B6" s="53"/>
      <c r="C6" s="40"/>
      <c r="D6" s="9"/>
      <c r="E6" s="41"/>
      <c r="F6" s="42"/>
      <c r="G6" s="3"/>
    </row>
    <row r="7" spans="1:9" ht="15" customHeight="1" x14ac:dyDescent="0.25">
      <c r="A7" s="24" t="s">
        <v>79</v>
      </c>
      <c r="B7" s="6"/>
      <c r="C7" s="17" t="s">
        <v>0</v>
      </c>
      <c r="D7" s="6"/>
      <c r="E7" s="17" t="s">
        <v>0</v>
      </c>
      <c r="F7" s="7"/>
      <c r="G7" s="3"/>
    </row>
    <row r="8" spans="1:9" ht="15" customHeight="1" x14ac:dyDescent="0.25">
      <c r="A8" s="26"/>
      <c r="B8" s="49"/>
      <c r="C8" s="49"/>
      <c r="D8" s="49"/>
      <c r="E8" s="49"/>
      <c r="F8" s="50"/>
    </row>
    <row r="9" spans="1:9" ht="15" customHeight="1" x14ac:dyDescent="0.25">
      <c r="A9" s="24" t="s">
        <v>93</v>
      </c>
      <c r="B9" s="51" t="str">
        <f ca="1">IF(OR($B$4="",IF(AND($B$4="[I-131] - NaI",$B$5=""),TRUE,FALSE),$B$6="",$D$6=""),"",
IF(LN(($B$6*IF($D$6="mCi",37,1)*(1-INDIRECT("DataNL!I"&amp;MATCH($B$4&amp;IF($B$4="[I-131] - NaI",$B$5,""),DataNL!$E$2:$E$13,0)+1)/100))/INDIRECT("DataNL!J"&amp;MATCH($B$4&amp;IF($B$4="[I-131] - NaI",$B$5,""),DataNL!$E$2:$E$13,0)+1)) &lt;= 0,
0,
ROUND(
LN(($B$6*IF($D$6="mCi",37,1)*
(1-INDIRECT("DataNL!I"&amp;MATCH($B$4&amp;IF($B$4="[I-131] - NaI",$B$5,""),DataNL!$E$2:$E$13,0)+1)/100))/
INDIRECT("DataNL!J"&amp;MATCH($B$4&amp;IF($B$4="[I-131] - NaI",$B$5,""),DataNL!$E$2:$E$13,0)+1))*
INDIRECT("DataNL!H"&amp;MATCH($B$4&amp;IF($B$4="[I-131] - NaI",$B$5,""),DataNL!$E$2:$E$13,0)+1)/LN(2),0) )
&amp; " dag(en)")</f>
        <v/>
      </c>
      <c r="C9" s="51"/>
      <c r="D9" s="51"/>
      <c r="E9" s="51"/>
      <c r="F9" s="52"/>
    </row>
    <row r="10" spans="1:9" ht="15" customHeight="1" x14ac:dyDescent="0.25">
      <c r="A10" s="24" t="s">
        <v>91</v>
      </c>
      <c r="B10" s="43" t="str">
        <f ca="1">IF(OR($B$4="",IF(AND($B$4 = "[I-131] - NaI",$B$5=""),TRUE,FALSE),$B$6="",$D$6="",$B$7="",$D$7="",$F$7=""),"",
IF(LN(($B$6*IF($D$6="mCi",37,1)*(1-INDIRECT("DataNL!I"&amp;MATCH($B$4 &amp; IF($B$4 = "[I-131] - NaI",$B$5,""),DataNL!$E$2:$E$13,0)+1)/100))/INDIRECT("DataNL!J"&amp;MATCH($B$4 &amp; IF($B$4 = "[I-131] - NaI",$B$5,""),DataNL!$E$2:$E$13,0)+1)) &lt;= 0,
DATE($F$7,$D$7,$B$7),
DATE(
YEAR(DATE($F$7,$D$7,$B$7)+ROUND(VALUE(SUBSTITUTE($B$9," dag(en)","")),0)),
MONTH(DATE($F$7,$D$7,$B$7)+ROUND(VALUE(SUBSTITUTE($B$9," dag(en)","")),0)),
DAY(DATE($F$7,$D$7,$B$7)+ROUND(VALUE(SUBSTITUTE($B$9," dag(en)","")),0)))))</f>
        <v/>
      </c>
      <c r="C10" s="43"/>
      <c r="D10" s="43"/>
      <c r="E10" s="43"/>
      <c r="F10" s="44"/>
    </row>
    <row r="11" spans="1:9" ht="15" customHeight="1" x14ac:dyDescent="0.25">
      <c r="A11" s="2"/>
      <c r="B11" s="49"/>
      <c r="C11" s="49"/>
      <c r="D11" s="49"/>
      <c r="E11" s="49"/>
      <c r="F11" s="50"/>
    </row>
    <row r="12" spans="1:9" ht="15" customHeight="1" x14ac:dyDescent="0.25">
      <c r="A12" s="14"/>
      <c r="B12" s="45" t="s">
        <v>90</v>
      </c>
      <c r="C12" s="45"/>
      <c r="D12" s="45"/>
      <c r="E12" s="45"/>
      <c r="F12" s="46"/>
      <c r="G12" s="13"/>
      <c r="H12" s="13"/>
      <c r="I12" s="13"/>
    </row>
    <row r="13" spans="1:9" ht="7.5" customHeight="1" x14ac:dyDescent="0.25"/>
    <row r="14" spans="1:9" ht="15" hidden="1" customHeight="1" x14ac:dyDescent="0.25"/>
    <row r="15" spans="1:9" ht="15" hidden="1" customHeight="1" x14ac:dyDescent="0.25"/>
    <row r="16" spans="1:9" hidden="1" x14ac:dyDescent="0.25"/>
  </sheetData>
  <sheetProtection algorithmName="SHA-512" hashValue="UkpEoR3uZPyLzqgwIv6vFzZhs42FSKNavZ3Hku2F0NiAC6EsgxgDEqzitdQXzBwqbKeC+pU5/gvgqMohg9r+Ig==" saltValue="FgzJSPAIBXRHurdxlXr3pA==" spinCount="100000" sheet="1" objects="1" scenarios="1"/>
  <mergeCells count="11">
    <mergeCell ref="B10:F10"/>
    <mergeCell ref="B12:F12"/>
    <mergeCell ref="B3:F3"/>
    <mergeCell ref="B8:F8"/>
    <mergeCell ref="B11:F11"/>
    <mergeCell ref="B9:F9"/>
    <mergeCell ref="A1:F2"/>
    <mergeCell ref="B4:F4"/>
    <mergeCell ref="B5:F5"/>
    <mergeCell ref="B6:C6"/>
    <mergeCell ref="E6:F6"/>
  </mergeCells>
  <conditionalFormatting sqref="B5:F5">
    <cfRule type="expression" dxfId="21" priority="12">
      <formula>B4 = "[I-131] - NaI"</formula>
    </cfRule>
    <cfRule type="expression" dxfId="20" priority="13">
      <formula>B4 &lt;&gt; "[I-131] - NaI"</formula>
    </cfRule>
    <cfRule type="expression" dxfId="19" priority="18">
      <formula>AND(B4 = "[I-131] - NaI", B5 = "")</formula>
    </cfRule>
  </conditionalFormatting>
  <conditionalFormatting sqref="B4">
    <cfRule type="containsBlanks" dxfId="18" priority="9">
      <formula>LEN(TRIM(B4))=0</formula>
    </cfRule>
  </conditionalFormatting>
  <conditionalFormatting sqref="D7">
    <cfRule type="containsBlanks" dxfId="17" priority="7">
      <formula>LEN(TRIM(D7))=0</formula>
    </cfRule>
  </conditionalFormatting>
  <conditionalFormatting sqref="F7">
    <cfRule type="containsBlanks" dxfId="16" priority="6">
      <formula>LEN(TRIM(F7))=0</formula>
    </cfRule>
  </conditionalFormatting>
  <conditionalFormatting sqref="B7">
    <cfRule type="containsBlanks" dxfId="15" priority="8">
      <formula>LEN(TRIM(B7))=0</formula>
    </cfRule>
  </conditionalFormatting>
  <conditionalFormatting sqref="B6">
    <cfRule type="containsBlanks" dxfId="14" priority="4">
      <formula>LEN(TRIM(B6))=0</formula>
    </cfRule>
  </conditionalFormatting>
  <conditionalFormatting sqref="D6">
    <cfRule type="containsBlanks" dxfId="13" priority="5">
      <formula>LEN(TRIM(D6))=0</formula>
    </cfRule>
  </conditionalFormatting>
  <conditionalFormatting sqref="B10">
    <cfRule type="containsBlanks" dxfId="12" priority="2">
      <formula>LEN(TRIM(B10))=0</formula>
    </cfRule>
  </conditionalFormatting>
  <conditionalFormatting sqref="B9">
    <cfRule type="containsBlanks" dxfId="11" priority="1">
      <formula>LEN(TRIM(B9))=0</formula>
    </cfRule>
  </conditionalFormatting>
  <dataValidations count="9">
    <dataValidation type="list" allowBlank="1" showInputMessage="1" showErrorMessage="1" promptTitle="Indicatie                     -" prompt="Keuzen uit de lijst_x000a_Enkel voor [I-131] - NaI" sqref="B5:F5" xr:uid="{4D03E329-518F-4EC1-B189-7ADEF4909B8B}">
      <formula1>IF(B4="[I-131] - NaI",I131NaINL,EmptyList)</formula1>
    </dataValidation>
    <dataValidation type="decimal" operator="greaterThan" allowBlank="1" showInputMessage="1" showErrorMessage="1" promptTitle="Toegediende activiteit" prompt="Positief getal" sqref="B6:C6" xr:uid="{D272F50F-721F-407B-8031-CC5E48522C81}">
      <formula1>0</formula1>
    </dataValidation>
    <dataValidation type="whole" allowBlank="1" showInputMessage="1" showErrorMessage="1" errorTitle="Date of administration" error="Please enter a whole number between 1900 and 2100" promptTitle="Datum van toediening" prompt="Jaar" sqref="F7" xr:uid="{7C2B586F-3E41-4108-AFAA-7E2352A728BD}">
      <formula1>1900</formula1>
      <formula2>2100</formula2>
    </dataValidation>
    <dataValidation type="whole" allowBlank="1" showInputMessage="1" showErrorMessage="1" errorTitle="Date of administration" error="Please enter a whole number between 1 and 12" promptTitle="Datum van toediening" prompt="Maand" sqref="D7" xr:uid="{BA8CCF89-7ACD-4B9D-B14F-0F35843CE55C}">
      <formula1>1</formula1>
      <formula2>12</formula2>
    </dataValidation>
    <dataValidation type="whole" allowBlank="1" showInputMessage="1" showErrorMessage="1" errorTitle="Date of administration" error="Please enter a whole number between 1 and 31" promptTitle="Datum van toediening" prompt="Dag" sqref="B7" xr:uid="{3E5C955E-EEAB-40C3-9681-0C3228C966F9}">
      <formula1>1</formula1>
      <formula2>31</formula2>
    </dataValidation>
    <dataValidation type="list" allowBlank="1" showInputMessage="1" showErrorMessage="1" errorTitle="Administered activity" error="Please select a unit in the list" promptTitle="Eenheid" prompt="Keuzen uit de lijst" sqref="D6" xr:uid="{E6D299D0-06FA-42BD-948F-DD8E1CBF8B2D}">
      <formula1>"mCi,MBq"</formula1>
    </dataValidation>
    <dataValidation allowBlank="1" showInputMessage="1" showErrorMessage="1" promptTitle="Precautionary date" prompt="Automatically calculated" sqref="B10:F10" xr:uid="{CBBB1F02-1C36-4C9C-A527-4D680F33B01A}"/>
    <dataValidation type="list" allowBlank="1" showInputMessage="1" showErrorMessage="1" promptTitle="Radioactief product" prompt="Keuzen uit de lijst" sqref="B4:F4" xr:uid="{41D3E726-0C7F-49CB-98C7-D7EBFE537E20}">
      <formula1>ProductListNL</formula1>
    </dataValidation>
    <dataValidation allowBlank="1" showInputMessage="1" showErrorMessage="1" promptTitle="Precautionary period" prompt="Automatically calculated" sqref="B9:F9" xr:uid="{14AAC55B-4AAF-4864-A851-DD2C22E405EB}"/>
  </dataValidation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02910-B629-486E-90FB-8283915E83CD}">
  <sheetPr>
    <pageSetUpPr fitToPage="1"/>
  </sheetPr>
  <dimension ref="A1:XFC16"/>
  <sheetViews>
    <sheetView showGridLines="0" showWhiteSpace="0" view="pageLayout" zoomScale="220" zoomScaleNormal="175" zoomScaleSheetLayoutView="145" zoomScalePageLayoutView="220" workbookViewId="0">
      <selection activeCell="B4" sqref="B4:F4"/>
    </sheetView>
  </sheetViews>
  <sheetFormatPr defaultColWidth="0" defaultRowHeight="15" customHeight="1" zeroHeight="1" x14ac:dyDescent="0.25"/>
  <cols>
    <col min="1" max="1" width="20.5703125" customWidth="1"/>
    <col min="2" max="2" width="6.7109375" customWidth="1"/>
    <col min="3" max="3" width="2" style="1" customWidth="1"/>
    <col min="4" max="4" width="6.7109375" customWidth="1"/>
    <col min="5" max="5" width="2" style="1" customWidth="1"/>
    <col min="6" max="6" width="8.28515625" customWidth="1"/>
    <col min="7" max="7" width="0.85546875" customWidth="1"/>
    <col min="8" max="16377" width="9.140625" hidden="1"/>
    <col min="16378" max="16378" width="9.140625" style="3" hidden="1" customWidth="1"/>
    <col min="16379" max="16383" width="9.140625" style="3" hidden="1"/>
    <col min="16384" max="16384" width="2.42578125" style="3" hidden="1"/>
  </cols>
  <sheetData>
    <row r="1" spans="1:9" ht="15" customHeight="1" x14ac:dyDescent="0.25">
      <c r="A1" s="54" t="s">
        <v>63</v>
      </c>
      <c r="B1" s="29"/>
      <c r="C1" s="29"/>
      <c r="D1" s="29"/>
      <c r="E1" s="29"/>
      <c r="F1" s="30"/>
      <c r="G1" s="3"/>
    </row>
    <row r="2" spans="1:9" ht="15" customHeight="1" x14ac:dyDescent="0.25">
      <c r="A2" s="31"/>
      <c r="B2" s="32"/>
      <c r="C2" s="32"/>
      <c r="D2" s="32"/>
      <c r="E2" s="32"/>
      <c r="F2" s="33"/>
      <c r="G2" s="3"/>
    </row>
    <row r="3" spans="1:9" ht="15" customHeight="1" x14ac:dyDescent="0.25">
      <c r="A3" s="15"/>
      <c r="B3" s="47"/>
      <c r="C3" s="47"/>
      <c r="D3" s="47"/>
      <c r="E3" s="47"/>
      <c r="F3" s="48"/>
      <c r="G3" s="3"/>
    </row>
    <row r="4" spans="1:9" ht="15" customHeight="1" x14ac:dyDescent="0.25">
      <c r="A4" s="24" t="s">
        <v>80</v>
      </c>
      <c r="B4" s="34"/>
      <c r="C4" s="35"/>
      <c r="D4" s="35"/>
      <c r="E4" s="35"/>
      <c r="F4" s="36"/>
      <c r="G4" s="3"/>
    </row>
    <row r="5" spans="1:9" ht="15" customHeight="1" x14ac:dyDescent="0.25">
      <c r="A5" s="25" t="str">
        <f>IF(B4="[I-131] - NaI","Indikation :","")</f>
        <v/>
      </c>
      <c r="B5" s="37"/>
      <c r="C5" s="37"/>
      <c r="D5" s="37"/>
      <c r="E5" s="37"/>
      <c r="F5" s="38"/>
      <c r="G5" s="3"/>
    </row>
    <row r="6" spans="1:9" ht="15" customHeight="1" x14ac:dyDescent="0.25">
      <c r="A6" s="27" t="s">
        <v>81</v>
      </c>
      <c r="B6" s="53"/>
      <c r="C6" s="40"/>
      <c r="D6" s="9"/>
      <c r="E6" s="55"/>
      <c r="F6" s="56"/>
      <c r="G6" s="3"/>
    </row>
    <row r="7" spans="1:9" ht="15" customHeight="1" x14ac:dyDescent="0.25">
      <c r="A7" s="27" t="s">
        <v>82</v>
      </c>
      <c r="B7" s="6"/>
      <c r="C7" s="17" t="s">
        <v>0</v>
      </c>
      <c r="D7" s="6"/>
      <c r="E7" s="17" t="s">
        <v>0</v>
      </c>
      <c r="F7" s="7"/>
      <c r="G7" s="3"/>
    </row>
    <row r="8" spans="1:9" ht="15" customHeight="1" x14ac:dyDescent="0.25">
      <c r="A8" s="26"/>
      <c r="B8" s="49"/>
      <c r="C8" s="49"/>
      <c r="D8" s="49"/>
      <c r="E8" s="49"/>
      <c r="F8" s="50"/>
    </row>
    <row r="9" spans="1:9" ht="15" customHeight="1" x14ac:dyDescent="0.25">
      <c r="A9" s="24" t="s">
        <v>83</v>
      </c>
      <c r="B9" s="51" t="str">
        <f ca="1">IF(OR($B$4="",IF(AND($B$4="[I-131] - NaI",$B$5=""),TRUE,FALSE),$B$6="",$D$6=""),"",
IF(LN(($B$6*IF($D$6="mCi",37,1)*(1-INDIRECT("DataDE!I"&amp;MATCH($B$4&amp;IF($B$4="[I-131] - NaI",$B$5,""),DataDE!$E$2:$E$13,0)+1)/100))/INDIRECT("DataDE!J"&amp;MATCH($B$4&amp;IF($B$4="[I-131] - NaI",$B$5,""),DataDE!$E$2:$E$13,0)+1)) &lt;= 0,
0,
ROUND(
LN(($B$6*IF($D$6="mCi",37,1)*
(1-INDIRECT("DataDE!I"&amp;MATCH($B$4&amp;IF($B$4="[I-131] - NaI",$B$5,""),DataDE!$E$2:$E$13,0)+1)/100))/
INDIRECT("DataDE!J"&amp;MATCH($B$4&amp;IF($B$4="[I-131] - NaI",$B$5,""),DataDE!$E$2:$E$13,0)+1))*
INDIRECT("DataDE!H"&amp;MATCH($B$4&amp;IF($B$4="[I-131] - NaI",$B$5,""),DataDE!$E$2:$E$13,0)+1)/LN(2),0) )
&amp; " Tag(e)")</f>
        <v/>
      </c>
      <c r="C9" s="51"/>
      <c r="D9" s="51"/>
      <c r="E9" s="51"/>
      <c r="F9" s="52"/>
    </row>
    <row r="10" spans="1:9" ht="15" customHeight="1" x14ac:dyDescent="0.25">
      <c r="A10" s="24" t="s">
        <v>94</v>
      </c>
      <c r="B10" s="43" t="str">
        <f ca="1">IF(OR($B$4="",IF(AND($B$4 = "[I-131] - NaI",$B$5=""),TRUE,FALSE),$B$6="",$D$6="",$B$7="",$D$7="",$F$7=""),"",
IF(LN(($B$6*IF($D$6="mCi",37,1)*(1-INDIRECT("DataDE!I"&amp;MATCH($B$4 &amp; IF($B$4 = "[I-131] - NaI",$B$5,""),DataDE!$E$2:$E$13,0)+1)/100))/INDIRECT("DataDE!J"&amp;MATCH($B$4 &amp; IF($B$4 = "[I-131] - NaI",$B$5,""),DataDE!$E$2:$E$13,0)+1)) &lt;= 0,
DATE($F$7,$D$7,$B$7),
DATE(
YEAR(DATE($F$7,$D$7,$B$7)+ROUND(VALUE(SUBSTITUTE($B$9," Tag(e)","")),0)),
MONTH(DATE($F$7,$D$7,$B$7)+ROUND(VALUE(SUBSTITUTE($B$9," Tag(e)","")),0)),
DAY(DATE($F$7,$D$7,$B$7)+ROUND(VALUE(SUBSTITUTE($B$9," Tag(e)","")),0)))))</f>
        <v/>
      </c>
      <c r="C10" s="43"/>
      <c r="D10" s="43"/>
      <c r="E10" s="43"/>
      <c r="F10" s="44"/>
    </row>
    <row r="11" spans="1:9" ht="15" customHeight="1" x14ac:dyDescent="0.25">
      <c r="A11" s="2"/>
      <c r="B11" s="49"/>
      <c r="C11" s="49"/>
      <c r="D11" s="49"/>
      <c r="E11" s="49"/>
      <c r="F11" s="50"/>
    </row>
    <row r="12" spans="1:9" ht="15" customHeight="1" x14ac:dyDescent="0.25">
      <c r="A12" s="14"/>
      <c r="B12" s="45" t="s">
        <v>89</v>
      </c>
      <c r="C12" s="45"/>
      <c r="D12" s="45"/>
      <c r="E12" s="45"/>
      <c r="F12" s="46"/>
      <c r="G12" s="13"/>
      <c r="H12" s="13"/>
      <c r="I12" s="13"/>
    </row>
    <row r="13" spans="1:9" ht="7.5" customHeight="1" x14ac:dyDescent="0.25"/>
    <row r="14" spans="1:9" ht="15" hidden="1" customHeight="1" x14ac:dyDescent="0.25"/>
    <row r="15" spans="1:9" ht="15" hidden="1" customHeight="1" x14ac:dyDescent="0.25"/>
    <row r="16" spans="1:9" hidden="1" x14ac:dyDescent="0.25"/>
  </sheetData>
  <sheetProtection algorithmName="SHA-512" hashValue="fx3IRsHbqqR5hOxG5IwLFElNbF2CfHyJ+ZcMC9NkqXfC5dPEs1m+E2a/TEGKlSNbRwhT+nANzgmZM7fkpJzcXA==" saltValue="fRBaAGFK/p9UcMrrXNxgeA==" spinCount="100000" sheet="1" objects="1" scenarios="1"/>
  <mergeCells count="11">
    <mergeCell ref="B10:F10"/>
    <mergeCell ref="B12:F12"/>
    <mergeCell ref="B11:F11"/>
    <mergeCell ref="B8:F8"/>
    <mergeCell ref="B3:F3"/>
    <mergeCell ref="B9:F9"/>
    <mergeCell ref="A1:F2"/>
    <mergeCell ref="B4:F4"/>
    <mergeCell ref="B5:F5"/>
    <mergeCell ref="B6:C6"/>
    <mergeCell ref="E6:F6"/>
  </mergeCells>
  <conditionalFormatting sqref="B5:F5">
    <cfRule type="expression" dxfId="10" priority="11">
      <formula>B4 = "[I-131] - NaI"</formula>
    </cfRule>
    <cfRule type="expression" dxfId="9" priority="12">
      <formula>B4 &lt;&gt; "[I-131] - NaI"</formula>
    </cfRule>
    <cfRule type="expression" dxfId="8" priority="17">
      <formula>AND(B4 = "[I-131] - NaI", B5 = "")</formula>
    </cfRule>
  </conditionalFormatting>
  <conditionalFormatting sqref="B4">
    <cfRule type="containsBlanks" dxfId="7" priority="8">
      <formula>LEN(TRIM(B4))=0</formula>
    </cfRule>
  </conditionalFormatting>
  <conditionalFormatting sqref="D7">
    <cfRule type="containsBlanks" dxfId="6" priority="6">
      <formula>LEN(TRIM(D7))=0</formula>
    </cfRule>
  </conditionalFormatting>
  <conditionalFormatting sqref="F7">
    <cfRule type="containsBlanks" dxfId="5" priority="5">
      <formula>LEN(TRIM(F7))=0</formula>
    </cfRule>
  </conditionalFormatting>
  <conditionalFormatting sqref="B7">
    <cfRule type="containsBlanks" dxfId="4" priority="7">
      <formula>LEN(TRIM(B7))=0</formula>
    </cfRule>
  </conditionalFormatting>
  <conditionalFormatting sqref="B6">
    <cfRule type="containsBlanks" dxfId="3" priority="3">
      <formula>LEN(TRIM(B6))=0</formula>
    </cfRule>
  </conditionalFormatting>
  <conditionalFormatting sqref="D6">
    <cfRule type="containsBlanks" dxfId="2" priority="4">
      <formula>LEN(TRIM(D6))=0</formula>
    </cfRule>
  </conditionalFormatting>
  <conditionalFormatting sqref="B10">
    <cfRule type="containsBlanks" dxfId="1" priority="2">
      <formula>LEN(TRIM(B10))=0</formula>
    </cfRule>
  </conditionalFormatting>
  <conditionalFormatting sqref="B9">
    <cfRule type="containsBlanks" dxfId="0" priority="1">
      <formula>LEN(TRIM(B9))=0</formula>
    </cfRule>
  </conditionalFormatting>
  <dataValidations count="9">
    <dataValidation type="list" allowBlank="1" showInputMessage="1" showErrorMessage="1" promptTitle="Indikation                     -" prompt="Wählen Sie aus der Liste_x000a_Nur für [I-131] - NaI" sqref="B5:F5" xr:uid="{6FE38E61-A797-4853-8972-E87A13073C45}">
      <formula1>IF(B4="[I-131] - NaI",I131NaIDE,EmptyList)</formula1>
    </dataValidation>
    <dataValidation type="decimal" operator="greaterThan" allowBlank="1" showInputMessage="1" showErrorMessage="1" promptTitle="Verabreichten Aktivität" prompt="Positive Zahl" sqref="B6:C6" xr:uid="{0522D8EB-7199-4551-88D3-44A3EA984609}">
      <formula1>0</formula1>
    </dataValidation>
    <dataValidation type="list" allowBlank="1" showInputMessage="1" showErrorMessage="1" errorTitle="Administered activity" error="Please select a unit in the list" promptTitle="Einheit" prompt="Wählen Sie aus der Liste" sqref="D6" xr:uid="{E8581AE8-6AD5-4AB0-B447-3C31A8A99034}">
      <formula1>"mCi,MBq"</formula1>
    </dataValidation>
    <dataValidation type="whole" allowBlank="1" showInputMessage="1" showErrorMessage="1" errorTitle="Date of administration" error="Please enter a whole number between 1 and 31" promptTitle="Datum der Verabreichung" prompt="Tag" sqref="B7" xr:uid="{E2DC11A4-1297-4766-B6C6-C80657F330D8}">
      <formula1>1</formula1>
      <formula2>31</formula2>
    </dataValidation>
    <dataValidation type="whole" allowBlank="1" showInputMessage="1" showErrorMessage="1" errorTitle="Date of administration" error="Please enter a whole number between 1 and 12" promptTitle="Datum der Verabreichung" prompt="Monat" sqref="D7" xr:uid="{53F13D7B-3E51-4244-8797-141BE71B41B8}">
      <formula1>1</formula1>
      <formula2>12</formula2>
    </dataValidation>
    <dataValidation type="whole" allowBlank="1" showInputMessage="1" showErrorMessage="1" errorTitle="Date of administration" error="Please enter a whole number between 1900 and 2100" promptTitle="Datum der Verabreichung" prompt="Jahr" sqref="F7" xr:uid="{ADC13B9E-57B0-4F99-803E-E6CA6DA7C76C}">
      <formula1>1900</formula1>
      <formula2>2100</formula2>
    </dataValidation>
    <dataValidation type="list" allowBlank="1" showInputMessage="1" showErrorMessage="1" promptTitle="Radioaktives Produkt" prompt="Wählen Sie aus der Liste" sqref="B4:F4" xr:uid="{D4987865-8F5B-4065-94E4-2A080F99666F}">
      <formula1>ProductListDE</formula1>
    </dataValidation>
    <dataValidation allowBlank="1" showInputMessage="1" showErrorMessage="1" promptTitle="Precautionary period" prompt="Automatically calculated" sqref="B9:F9" xr:uid="{091F10EA-C6B1-4C75-B67D-F92DB455DA55}"/>
    <dataValidation allowBlank="1" showInputMessage="1" showErrorMessage="1" promptTitle="Precautionary date" prompt="Automatically calculated" sqref="B10:F10" xr:uid="{6E73CE42-5C52-4754-9328-F16EF14B010D}"/>
  </dataValidation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7ECCD-E931-4055-9365-2493BDB58F8A}">
  <dimension ref="A1:L26"/>
  <sheetViews>
    <sheetView zoomScale="85" zoomScaleNormal="85" workbookViewId="0">
      <selection activeCell="D21" sqref="D21"/>
    </sheetView>
  </sheetViews>
  <sheetFormatPr defaultRowHeight="15" x14ac:dyDescent="0.25"/>
  <cols>
    <col min="1" max="1" width="18" bestFit="1" customWidth="1"/>
    <col min="2" max="2" width="20.85546875" bestFit="1" customWidth="1"/>
    <col min="3" max="3" width="24.140625" bestFit="1" customWidth="1"/>
    <col min="4" max="4" width="22.28515625" bestFit="1" customWidth="1"/>
    <col min="5" max="5" width="33.7109375" bestFit="1" customWidth="1"/>
    <col min="6" max="6" width="13.5703125" customWidth="1"/>
    <col min="7" max="7" width="14.140625" customWidth="1"/>
    <col min="8" max="8" width="13" customWidth="1"/>
    <col min="9" max="9" width="12.7109375" bestFit="1" customWidth="1"/>
    <col min="10" max="10" width="18.85546875" customWidth="1"/>
    <col min="11" max="11" width="16.7109375" customWidth="1"/>
    <col min="12" max="12" width="16" customWidth="1"/>
  </cols>
  <sheetData>
    <row r="1" spans="1:12" s="11" customFormat="1" ht="45" x14ac:dyDescent="0.25">
      <c r="A1" s="11" t="s">
        <v>3</v>
      </c>
      <c r="B1" s="11" t="s">
        <v>5</v>
      </c>
      <c r="C1" s="11" t="s">
        <v>2</v>
      </c>
      <c r="D1" s="11" t="s">
        <v>6</v>
      </c>
      <c r="F1" s="11" t="s">
        <v>19</v>
      </c>
      <c r="G1" s="11" t="s">
        <v>20</v>
      </c>
      <c r="H1" s="11" t="s">
        <v>24</v>
      </c>
      <c r="I1" s="11" t="s">
        <v>21</v>
      </c>
      <c r="J1" s="11" t="s">
        <v>22</v>
      </c>
      <c r="K1" s="11" t="s">
        <v>25</v>
      </c>
      <c r="L1" s="11" t="s">
        <v>23</v>
      </c>
    </row>
    <row r="2" spans="1:12" x14ac:dyDescent="0.25">
      <c r="A2" t="s">
        <v>37</v>
      </c>
      <c r="B2" t="s">
        <v>46</v>
      </c>
      <c r="D2" t="str">
        <f>A2 &amp; " - " &amp; B2</f>
        <v>[Y-90] - Zevalin®</v>
      </c>
      <c r="E2" t="str">
        <f>D2</f>
        <v>[Y-90] - Zevalin®</v>
      </c>
      <c r="F2">
        <v>2.7</v>
      </c>
      <c r="G2">
        <v>1.96</v>
      </c>
      <c r="H2" s="18">
        <f>(F2*G2)/(F2+G2)</f>
        <v>1.1356223175965665</v>
      </c>
      <c r="I2">
        <v>10</v>
      </c>
      <c r="J2">
        <v>0.1</v>
      </c>
      <c r="K2">
        <v>1110</v>
      </c>
      <c r="L2" s="12">
        <f>LN((K2*((100-I2)/100))/J2)*H2/0.693</f>
        <v>15.091388006593414</v>
      </c>
    </row>
    <row r="3" spans="1:12" x14ac:dyDescent="0.25">
      <c r="A3" t="s">
        <v>37</v>
      </c>
      <c r="B3" t="s">
        <v>15</v>
      </c>
      <c r="D3" t="str">
        <f>A3 &amp; " - " &amp; B3</f>
        <v>[Y-90] - Colloid</v>
      </c>
      <c r="E3" t="str">
        <f>D3</f>
        <v>[Y-90] - Colloid</v>
      </c>
      <c r="F3">
        <v>2.7</v>
      </c>
      <c r="G3">
        <v>100</v>
      </c>
      <c r="H3" s="18">
        <f>(F3*G3)/(F3+G3)</f>
        <v>2.6290165530671858</v>
      </c>
      <c r="I3">
        <v>0</v>
      </c>
      <c r="J3">
        <v>0.1</v>
      </c>
      <c r="K3">
        <v>370</v>
      </c>
      <c r="L3" s="12">
        <f>LN((K3*((100-I3)/100))/J3)*H3/0.693</f>
        <v>31.169165386381906</v>
      </c>
    </row>
    <row r="4" spans="1:12" s="19" customFormat="1" x14ac:dyDescent="0.25">
      <c r="A4" s="19" t="s">
        <v>37</v>
      </c>
      <c r="B4" s="19" t="s">
        <v>67</v>
      </c>
      <c r="D4" s="19" t="str">
        <f t="shared" ref="D4" si="0">A4 &amp; " - " &amp; B4</f>
        <v>[Y-90] - Microspheres</v>
      </c>
      <c r="E4" s="19" t="str">
        <f>D4</f>
        <v>[Y-90] - Microspheres</v>
      </c>
      <c r="F4" s="19">
        <v>2.7</v>
      </c>
      <c r="G4" s="19">
        <v>10000</v>
      </c>
      <c r="H4" s="20">
        <f>(F4*G4)/(F4+G4)</f>
        <v>2.6992711967768699</v>
      </c>
      <c r="I4" s="19">
        <v>0</v>
      </c>
      <c r="J4" s="19">
        <v>0.1</v>
      </c>
      <c r="K4" s="19">
        <v>1480</v>
      </c>
      <c r="L4" s="21">
        <f>LN((K4*((100-I4)/100))/J4)*H4/0.693</f>
        <v>37.401781232387535</v>
      </c>
    </row>
    <row r="5" spans="1:12" x14ac:dyDescent="0.25">
      <c r="A5" t="s">
        <v>38</v>
      </c>
      <c r="B5" t="s">
        <v>27</v>
      </c>
      <c r="D5" t="str">
        <f>A5 &amp; " - " &amp; B5</f>
        <v>[I-125] - Implants</v>
      </c>
      <c r="E5" t="str">
        <f>D5</f>
        <v>[I-125] - Implants</v>
      </c>
      <c r="F5">
        <v>60</v>
      </c>
      <c r="G5" s="22">
        <v>1000000000</v>
      </c>
      <c r="H5" s="18">
        <f>(F5*G5)/(F5+G5)</f>
        <v>59.999996400000214</v>
      </c>
      <c r="I5">
        <v>0</v>
      </c>
      <c r="J5">
        <v>1</v>
      </c>
      <c r="K5">
        <v>1480</v>
      </c>
      <c r="L5" s="12">
        <f>LN((K5*((100-I5)/100))/J5)*H5/0.693</f>
        <v>632.0170501099866</v>
      </c>
    </row>
    <row r="6" spans="1:12" x14ac:dyDescent="0.25">
      <c r="A6" t="s">
        <v>39</v>
      </c>
      <c r="B6" t="s">
        <v>4</v>
      </c>
      <c r="C6" t="s">
        <v>17</v>
      </c>
      <c r="D6" t="str">
        <f t="shared" ref="D6:D12" si="1">A6 &amp; " - " &amp; B6</f>
        <v>[I-131] - NaI</v>
      </c>
      <c r="E6" t="str">
        <f>D6 &amp; C6</f>
        <v>[I-131] - NaIThyroid : cancer</v>
      </c>
      <c r="F6">
        <v>8</v>
      </c>
      <c r="G6">
        <v>2.2000000000000002</v>
      </c>
      <c r="H6" s="18">
        <f>(F6*G6)/(F6+G6)</f>
        <v>1.7254901960784317</v>
      </c>
      <c r="I6">
        <v>80</v>
      </c>
      <c r="J6">
        <v>1</v>
      </c>
      <c r="K6">
        <v>3700</v>
      </c>
      <c r="L6" s="12">
        <f>LN((K6*((100-I6)/100))/J6)*H6/0.693</f>
        <v>16.449798160468639</v>
      </c>
    </row>
    <row r="7" spans="1:12" x14ac:dyDescent="0.25">
      <c r="A7" t="s">
        <v>39</v>
      </c>
      <c r="B7" t="s">
        <v>4</v>
      </c>
      <c r="C7" t="s">
        <v>18</v>
      </c>
      <c r="D7" t="str">
        <f t="shared" si="1"/>
        <v>[I-131] - NaI</v>
      </c>
      <c r="E7" t="str">
        <f>D7 &amp; C7</f>
        <v>[I-131] - NaIThyroid : benign disease</v>
      </c>
      <c r="F7">
        <v>8</v>
      </c>
      <c r="G7">
        <v>6.2</v>
      </c>
      <c r="H7" s="18">
        <f t="shared" ref="H7:H10" si="2">(F7*G7)/(F7+G7)</f>
        <v>3.4929577464788735</v>
      </c>
      <c r="I7">
        <v>40</v>
      </c>
      <c r="J7">
        <v>1</v>
      </c>
      <c r="K7">
        <v>370</v>
      </c>
      <c r="L7" s="12">
        <f t="shared" ref="L7:L12" si="3">LN((K7*((100-I7)/100))/J7)*H7/0.693</f>
        <v>27.231347493126954</v>
      </c>
    </row>
    <row r="8" spans="1:12" x14ac:dyDescent="0.25">
      <c r="A8" t="s">
        <v>39</v>
      </c>
      <c r="B8" t="s">
        <v>1</v>
      </c>
      <c r="D8" t="str">
        <f t="shared" si="1"/>
        <v>[I-131] - MIBG</v>
      </c>
      <c r="E8" t="str">
        <f>D8</f>
        <v>[I-131] - MIBG</v>
      </c>
      <c r="F8">
        <v>8</v>
      </c>
      <c r="G8">
        <v>8</v>
      </c>
      <c r="H8" s="18">
        <f t="shared" si="2"/>
        <v>4</v>
      </c>
      <c r="I8">
        <v>50</v>
      </c>
      <c r="J8">
        <v>1</v>
      </c>
      <c r="K8">
        <v>1800</v>
      </c>
      <c r="L8" s="12">
        <f t="shared" si="3"/>
        <v>39.263461837369761</v>
      </c>
    </row>
    <row r="9" spans="1:12" x14ac:dyDescent="0.25">
      <c r="A9" t="s">
        <v>40</v>
      </c>
      <c r="B9" t="s">
        <v>44</v>
      </c>
      <c r="D9" t="str">
        <f t="shared" si="1"/>
        <v>[Sm-153] - Quadramet®</v>
      </c>
      <c r="E9" t="str">
        <f t="shared" ref="E9:E12" si="4">D9</f>
        <v>[Sm-153] - Quadramet®</v>
      </c>
      <c r="F9">
        <v>1.95</v>
      </c>
      <c r="G9">
        <v>3</v>
      </c>
      <c r="H9" s="18">
        <f t="shared" si="2"/>
        <v>1.1818181818181817</v>
      </c>
      <c r="I9">
        <v>20</v>
      </c>
      <c r="J9">
        <v>1</v>
      </c>
      <c r="K9">
        <v>2960</v>
      </c>
      <c r="L9" s="12">
        <f t="shared" si="3"/>
        <v>13.250349330716338</v>
      </c>
    </row>
    <row r="10" spans="1:12" s="19" customFormat="1" x14ac:dyDescent="0.25">
      <c r="A10" s="19" t="s">
        <v>41</v>
      </c>
      <c r="B10" s="19" t="s">
        <v>67</v>
      </c>
      <c r="D10" s="19" t="str">
        <f t="shared" si="1"/>
        <v>[Ho-166] - Microspheres</v>
      </c>
      <c r="E10" s="19" t="str">
        <f t="shared" si="4"/>
        <v>[Ho-166] - Microspheres</v>
      </c>
      <c r="F10" s="20">
        <v>1.1167</v>
      </c>
      <c r="G10" s="19">
        <v>10000</v>
      </c>
      <c r="H10" s="20">
        <f t="shared" si="2"/>
        <v>1.1165753120349049</v>
      </c>
      <c r="I10" s="19">
        <v>0</v>
      </c>
      <c r="J10" s="19">
        <v>0.1</v>
      </c>
      <c r="K10" s="19">
        <v>12000</v>
      </c>
      <c r="L10" s="21">
        <f t="shared" si="3"/>
        <v>18.843613409309722</v>
      </c>
    </row>
    <row r="11" spans="1:12" s="19" customFormat="1" x14ac:dyDescent="0.25">
      <c r="A11" s="19" t="s">
        <v>42</v>
      </c>
      <c r="B11" s="19" t="s">
        <v>8</v>
      </c>
      <c r="D11" s="19" t="str">
        <f t="shared" si="1"/>
        <v>[Lu-177] - DOTATATE</v>
      </c>
      <c r="E11" s="19" t="str">
        <f t="shared" si="4"/>
        <v>[Lu-177] - DOTATATE</v>
      </c>
      <c r="F11" s="19">
        <v>6.71</v>
      </c>
      <c r="H11" s="20">
        <v>4.17</v>
      </c>
      <c r="I11" s="19">
        <v>65</v>
      </c>
      <c r="J11" s="19">
        <v>10</v>
      </c>
      <c r="K11" s="19">
        <v>7400</v>
      </c>
      <c r="L11" s="21">
        <f t="shared" si="3"/>
        <v>33.437190501135746</v>
      </c>
    </row>
    <row r="12" spans="1:12" s="19" customFormat="1" x14ac:dyDescent="0.25">
      <c r="A12" s="19" t="s">
        <v>42</v>
      </c>
      <c r="B12" s="19" t="s">
        <v>9</v>
      </c>
      <c r="D12" s="19" t="str">
        <f t="shared" si="1"/>
        <v>[Lu-177] - PSMA</v>
      </c>
      <c r="E12" s="19" t="str">
        <f t="shared" si="4"/>
        <v>[Lu-177] - PSMA</v>
      </c>
      <c r="F12" s="19">
        <v>6.71</v>
      </c>
      <c r="H12" s="20">
        <v>3.54</v>
      </c>
      <c r="I12" s="19">
        <v>70</v>
      </c>
      <c r="J12" s="19">
        <v>10</v>
      </c>
      <c r="K12" s="19">
        <v>7400</v>
      </c>
      <c r="L12" s="21">
        <f t="shared" si="3"/>
        <v>27.598092253719873</v>
      </c>
    </row>
    <row r="13" spans="1:12" x14ac:dyDescent="0.25">
      <c r="A13" t="s">
        <v>43</v>
      </c>
      <c r="B13" t="s">
        <v>45</v>
      </c>
      <c r="D13" t="str">
        <f>A13 &amp; " - " &amp; B13</f>
        <v>[Ra-223] - Xofigo®</v>
      </c>
      <c r="E13" t="str">
        <f>D13</f>
        <v>[Ra-223] - Xofigo®</v>
      </c>
      <c r="F13">
        <v>11.4</v>
      </c>
      <c r="G13">
        <v>10000</v>
      </c>
      <c r="H13" s="18">
        <f>(F13*G13)/(F13+G13)</f>
        <v>11.387018798569631</v>
      </c>
      <c r="I13">
        <v>0</v>
      </c>
      <c r="J13">
        <v>0.1</v>
      </c>
      <c r="K13">
        <v>3.6</v>
      </c>
      <c r="L13" s="12">
        <f>LN((K13*((100-I13)/100))/J13)*H13/0.693</f>
        <v>58.882536099899013</v>
      </c>
    </row>
    <row r="15" spans="1:12" x14ac:dyDescent="0.25">
      <c r="D15" s="4" t="s">
        <v>7</v>
      </c>
    </row>
    <row r="16" spans="1:12" x14ac:dyDescent="0.25">
      <c r="D16" t="s">
        <v>30</v>
      </c>
    </row>
    <row r="17" spans="4:4" x14ac:dyDescent="0.25">
      <c r="D17" t="s">
        <v>32</v>
      </c>
    </row>
    <row r="18" spans="4:4" x14ac:dyDescent="0.25">
      <c r="D18" t="s">
        <v>35</v>
      </c>
    </row>
    <row r="19" spans="4:4" x14ac:dyDescent="0.25">
      <c r="D19" t="s">
        <v>33</v>
      </c>
    </row>
    <row r="20" spans="4:4" x14ac:dyDescent="0.25">
      <c r="D20" s="19" t="s">
        <v>69</v>
      </c>
    </row>
    <row r="21" spans="4:4" x14ac:dyDescent="0.25">
      <c r="D21" s="19" t="s">
        <v>68</v>
      </c>
    </row>
    <row r="22" spans="4:4" x14ac:dyDescent="0.25">
      <c r="D22" t="s">
        <v>28</v>
      </c>
    </row>
    <row r="23" spans="4:4" x14ac:dyDescent="0.25">
      <c r="D23" t="s">
        <v>31</v>
      </c>
    </row>
    <row r="24" spans="4:4" x14ac:dyDescent="0.25">
      <c r="D24" t="s">
        <v>34</v>
      </c>
    </row>
    <row r="25" spans="4:4" x14ac:dyDescent="0.25">
      <c r="D25" s="19" t="s">
        <v>56</v>
      </c>
    </row>
    <row r="26" spans="4:4" x14ac:dyDescent="0.25">
      <c r="D26" s="19" t="s">
        <v>57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F334-8142-4D92-A029-18B93BA4A412}">
  <dimension ref="A1:L27"/>
  <sheetViews>
    <sheetView zoomScale="85" zoomScaleNormal="85" workbookViewId="0">
      <selection sqref="A1:F2"/>
    </sheetView>
  </sheetViews>
  <sheetFormatPr defaultRowHeight="15" x14ac:dyDescent="0.25"/>
  <cols>
    <col min="1" max="1" width="18" bestFit="1" customWidth="1"/>
    <col min="2" max="2" width="20.85546875" bestFit="1" customWidth="1"/>
    <col min="3" max="3" width="27.42578125" bestFit="1" customWidth="1"/>
    <col min="4" max="4" width="22" bestFit="1" customWidth="1"/>
    <col min="5" max="5" width="37" bestFit="1" customWidth="1"/>
    <col min="6" max="6" width="13.5703125" customWidth="1"/>
    <col min="7" max="7" width="14.140625" customWidth="1"/>
    <col min="8" max="8" width="13" customWidth="1"/>
    <col min="9" max="9" width="12.7109375" bestFit="1" customWidth="1"/>
    <col min="10" max="10" width="18.85546875" customWidth="1"/>
    <col min="11" max="11" width="16.7109375" customWidth="1"/>
    <col min="12" max="12" width="16" customWidth="1"/>
  </cols>
  <sheetData>
    <row r="1" spans="1:12" s="4" customFormat="1" ht="45" x14ac:dyDescent="0.25">
      <c r="A1" s="4" t="s">
        <v>3</v>
      </c>
      <c r="B1" s="4" t="s">
        <v>5</v>
      </c>
      <c r="C1" s="4" t="s">
        <v>2</v>
      </c>
      <c r="D1" s="4" t="s">
        <v>6</v>
      </c>
      <c r="F1" s="11" t="s">
        <v>19</v>
      </c>
      <c r="G1" s="11" t="s">
        <v>20</v>
      </c>
      <c r="H1" s="11" t="s">
        <v>24</v>
      </c>
      <c r="I1" s="11" t="s">
        <v>21</v>
      </c>
      <c r="J1" s="11" t="s">
        <v>22</v>
      </c>
      <c r="K1" s="11" t="s">
        <v>25</v>
      </c>
      <c r="L1" s="11" t="s">
        <v>23</v>
      </c>
    </row>
    <row r="2" spans="1:12" x14ac:dyDescent="0.25">
      <c r="A2" t="s">
        <v>37</v>
      </c>
      <c r="B2" t="s">
        <v>46</v>
      </c>
      <c r="D2" t="str">
        <f>A2 &amp; " - " &amp; B2</f>
        <v>[Y-90] - Zevalin®</v>
      </c>
      <c r="E2" t="str">
        <f>D2</f>
        <v>[Y-90] - Zevalin®</v>
      </c>
      <c r="F2">
        <v>2.7</v>
      </c>
      <c r="G2">
        <v>1.96</v>
      </c>
      <c r="H2" s="18">
        <v>1.1356223175965665</v>
      </c>
      <c r="I2">
        <v>10</v>
      </c>
      <c r="J2">
        <v>0.1</v>
      </c>
      <c r="K2">
        <v>1110</v>
      </c>
      <c r="L2" s="12">
        <v>15.091388006593414</v>
      </c>
    </row>
    <row r="3" spans="1:12" x14ac:dyDescent="0.25">
      <c r="A3" t="s">
        <v>37</v>
      </c>
      <c r="B3" t="s">
        <v>64</v>
      </c>
      <c r="D3" t="str">
        <f>A3 &amp; " - " &amp; B3</f>
        <v>[Y-90] - Colloïdales</v>
      </c>
      <c r="E3" t="str">
        <f>D3</f>
        <v>[Y-90] - Colloïdales</v>
      </c>
      <c r="F3">
        <v>2.7</v>
      </c>
      <c r="G3">
        <v>100</v>
      </c>
      <c r="H3" s="18">
        <v>2.6290165530671858</v>
      </c>
      <c r="I3">
        <v>0</v>
      </c>
      <c r="J3">
        <v>0.1</v>
      </c>
      <c r="K3">
        <v>370</v>
      </c>
      <c r="L3" s="12">
        <v>31.169165386381906</v>
      </c>
    </row>
    <row r="4" spans="1:12" s="10" customFormat="1" x14ac:dyDescent="0.25">
      <c r="A4" s="19" t="s">
        <v>37</v>
      </c>
      <c r="B4" s="19" t="s">
        <v>10</v>
      </c>
      <c r="C4" s="19"/>
      <c r="D4" s="19" t="str">
        <f>A4 &amp; " - " &amp; B4</f>
        <v>[Y-90] - Microsphères</v>
      </c>
      <c r="E4" s="19" t="str">
        <f>D4</f>
        <v>[Y-90] - Microsphères</v>
      </c>
      <c r="F4" s="19">
        <v>2.7</v>
      </c>
      <c r="G4" s="19">
        <v>10000</v>
      </c>
      <c r="H4" s="20">
        <v>2.6992711967768699</v>
      </c>
      <c r="I4" s="19">
        <v>0</v>
      </c>
      <c r="J4" s="19">
        <v>0.1</v>
      </c>
      <c r="K4" s="19">
        <v>1480</v>
      </c>
      <c r="L4" s="21">
        <v>37.401781232387535</v>
      </c>
    </row>
    <row r="5" spans="1:12" x14ac:dyDescent="0.25">
      <c r="A5" t="s">
        <v>38</v>
      </c>
      <c r="B5" t="s">
        <v>27</v>
      </c>
      <c r="D5" t="str">
        <f>A5 &amp; " - " &amp; B5</f>
        <v>[I-125] - Implants</v>
      </c>
      <c r="E5" t="str">
        <f>D5</f>
        <v>[I-125] - Implants</v>
      </c>
      <c r="F5">
        <v>60</v>
      </c>
      <c r="G5" s="22">
        <v>1000000000</v>
      </c>
      <c r="H5" s="18">
        <v>59.999996400000214</v>
      </c>
      <c r="I5">
        <v>0</v>
      </c>
      <c r="J5">
        <v>1</v>
      </c>
      <c r="K5">
        <v>1480</v>
      </c>
      <c r="L5" s="12">
        <v>632.0170501099866</v>
      </c>
    </row>
    <row r="6" spans="1:12" x14ac:dyDescent="0.25">
      <c r="A6" s="19" t="s">
        <v>39</v>
      </c>
      <c r="B6" s="19" t="s">
        <v>4</v>
      </c>
      <c r="C6" s="19" t="s">
        <v>11</v>
      </c>
      <c r="D6" s="19" t="str">
        <f t="shared" ref="D6:D12" si="0">A6 &amp; " - " &amp; B6</f>
        <v>[I-131] - NaI</v>
      </c>
      <c r="E6" s="19" t="str">
        <f>D6 &amp; C6</f>
        <v>[I-131] - NaIThyroïde : cancer</v>
      </c>
      <c r="F6" s="19">
        <v>8</v>
      </c>
      <c r="G6" s="19">
        <v>2.2000000000000002</v>
      </c>
      <c r="H6" s="20">
        <v>1.7254901960784317</v>
      </c>
      <c r="I6" s="19">
        <v>80</v>
      </c>
      <c r="J6" s="19">
        <v>1</v>
      </c>
      <c r="K6" s="19">
        <v>3700</v>
      </c>
      <c r="L6" s="21">
        <v>16.449798160468639</v>
      </c>
    </row>
    <row r="7" spans="1:12" x14ac:dyDescent="0.25">
      <c r="A7" s="19" t="s">
        <v>39</v>
      </c>
      <c r="B7" s="19" t="s">
        <v>4</v>
      </c>
      <c r="C7" s="19" t="s">
        <v>12</v>
      </c>
      <c r="D7" s="19" t="str">
        <f t="shared" si="0"/>
        <v>[I-131] - NaI</v>
      </c>
      <c r="E7" s="19" t="str">
        <f>D7 &amp; C7</f>
        <v>[I-131] - NaIThyroïde : affection bénigne</v>
      </c>
      <c r="F7" s="19">
        <v>8</v>
      </c>
      <c r="G7" s="19">
        <v>6.2</v>
      </c>
      <c r="H7" s="20">
        <v>3.4929577464788735</v>
      </c>
      <c r="I7" s="19">
        <v>40</v>
      </c>
      <c r="J7" s="19">
        <v>1</v>
      </c>
      <c r="K7" s="19">
        <v>370</v>
      </c>
      <c r="L7" s="21">
        <v>27.231347493126954</v>
      </c>
    </row>
    <row r="8" spans="1:12" x14ac:dyDescent="0.25">
      <c r="A8" s="19" t="s">
        <v>39</v>
      </c>
      <c r="B8" s="19" t="s">
        <v>1</v>
      </c>
      <c r="C8" s="19"/>
      <c r="D8" s="19" t="str">
        <f t="shared" si="0"/>
        <v>[I-131] - MIBG</v>
      </c>
      <c r="E8" s="19" t="str">
        <f t="shared" ref="E8:E12" si="1">D8</f>
        <v>[I-131] - MIBG</v>
      </c>
      <c r="F8" s="19">
        <v>8</v>
      </c>
      <c r="G8" s="19">
        <v>8</v>
      </c>
      <c r="H8" s="20">
        <v>4</v>
      </c>
      <c r="I8" s="19">
        <v>50</v>
      </c>
      <c r="J8" s="19">
        <v>1</v>
      </c>
      <c r="K8" s="19">
        <v>1800</v>
      </c>
      <c r="L8" s="21">
        <v>39.263461837369761</v>
      </c>
    </row>
    <row r="9" spans="1:12" x14ac:dyDescent="0.25">
      <c r="A9" s="19" t="s">
        <v>40</v>
      </c>
      <c r="B9" s="19" t="s">
        <v>44</v>
      </c>
      <c r="C9" s="19"/>
      <c r="D9" s="19" t="str">
        <f t="shared" si="0"/>
        <v>[Sm-153] - Quadramet®</v>
      </c>
      <c r="E9" s="19" t="str">
        <f t="shared" si="1"/>
        <v>[Sm-153] - Quadramet®</v>
      </c>
      <c r="F9" s="19">
        <v>1.95</v>
      </c>
      <c r="G9" s="19">
        <v>3</v>
      </c>
      <c r="H9" s="20">
        <v>1.1818181818181817</v>
      </c>
      <c r="I9" s="19">
        <v>20</v>
      </c>
      <c r="J9" s="19">
        <v>1</v>
      </c>
      <c r="K9" s="19">
        <v>2960</v>
      </c>
      <c r="L9" s="21">
        <v>13.250349330716338</v>
      </c>
    </row>
    <row r="10" spans="1:12" s="10" customFormat="1" x14ac:dyDescent="0.25">
      <c r="A10" s="19" t="s">
        <v>41</v>
      </c>
      <c r="B10" s="19" t="s">
        <v>10</v>
      </c>
      <c r="C10" s="19"/>
      <c r="D10" s="19" t="str">
        <f t="shared" si="0"/>
        <v>[Ho-166] - Microsphères</v>
      </c>
      <c r="E10" s="19" t="str">
        <f t="shared" si="1"/>
        <v>[Ho-166] - Microsphères</v>
      </c>
      <c r="F10" s="20">
        <v>1.1167</v>
      </c>
      <c r="G10" s="19">
        <v>10000</v>
      </c>
      <c r="H10" s="20">
        <v>1.1165753120349049</v>
      </c>
      <c r="I10" s="19">
        <v>0</v>
      </c>
      <c r="J10" s="19">
        <v>0.1</v>
      </c>
      <c r="K10" s="19">
        <v>12000</v>
      </c>
      <c r="L10" s="21">
        <v>18.843613409309722</v>
      </c>
    </row>
    <row r="11" spans="1:12" s="10" customFormat="1" x14ac:dyDescent="0.25">
      <c r="A11" s="19" t="s">
        <v>42</v>
      </c>
      <c r="B11" s="19" t="s">
        <v>8</v>
      </c>
      <c r="C11" s="19"/>
      <c r="D11" s="19" t="str">
        <f t="shared" si="0"/>
        <v>[Lu-177] - DOTATATE</v>
      </c>
      <c r="E11" s="19" t="str">
        <f t="shared" si="1"/>
        <v>[Lu-177] - DOTATATE</v>
      </c>
      <c r="F11" s="19">
        <v>6.71</v>
      </c>
      <c r="G11" s="19">
        <v>0</v>
      </c>
      <c r="H11" s="20">
        <v>4.17</v>
      </c>
      <c r="I11" s="19">
        <v>65</v>
      </c>
      <c r="J11" s="19">
        <v>10</v>
      </c>
      <c r="K11" s="19">
        <v>7400</v>
      </c>
      <c r="L11" s="21">
        <v>33.437190501135746</v>
      </c>
    </row>
    <row r="12" spans="1:12" s="10" customFormat="1" x14ac:dyDescent="0.25">
      <c r="A12" s="19" t="s">
        <v>42</v>
      </c>
      <c r="B12" s="19" t="s">
        <v>9</v>
      </c>
      <c r="C12" s="19"/>
      <c r="D12" s="19" t="str">
        <f t="shared" si="0"/>
        <v>[Lu-177] - PSMA</v>
      </c>
      <c r="E12" s="19" t="str">
        <f t="shared" si="1"/>
        <v>[Lu-177] - PSMA</v>
      </c>
      <c r="F12" s="19">
        <v>6.71</v>
      </c>
      <c r="G12" s="19">
        <v>0</v>
      </c>
      <c r="H12" s="20">
        <v>3.54</v>
      </c>
      <c r="I12" s="19">
        <v>70</v>
      </c>
      <c r="J12" s="19">
        <v>10</v>
      </c>
      <c r="K12" s="19">
        <v>7400</v>
      </c>
      <c r="L12" s="21">
        <v>27.598092253719873</v>
      </c>
    </row>
    <row r="13" spans="1:12" x14ac:dyDescent="0.25">
      <c r="A13" t="s">
        <v>43</v>
      </c>
      <c r="B13" t="s">
        <v>45</v>
      </c>
      <c r="D13" t="str">
        <f>A13 &amp; " - " &amp; B13</f>
        <v>[Ra-223] - Xofigo®</v>
      </c>
      <c r="E13" t="str">
        <f>D13</f>
        <v>[Ra-223] - Xofigo®</v>
      </c>
      <c r="F13">
        <v>11.4</v>
      </c>
      <c r="G13" s="22">
        <v>10000</v>
      </c>
      <c r="H13" s="18">
        <v>11.387018798569631</v>
      </c>
      <c r="I13">
        <v>0</v>
      </c>
      <c r="J13">
        <v>0.1</v>
      </c>
      <c r="K13">
        <v>3.6</v>
      </c>
      <c r="L13" s="12">
        <v>58.882536099899013</v>
      </c>
    </row>
    <row r="15" spans="1:12" x14ac:dyDescent="0.25">
      <c r="D15" s="4" t="s">
        <v>7</v>
      </c>
    </row>
    <row r="16" spans="1:12" x14ac:dyDescent="0.25">
      <c r="D16" t="s">
        <v>30</v>
      </c>
    </row>
    <row r="17" spans="4:4" x14ac:dyDescent="0.25">
      <c r="D17" t="s">
        <v>32</v>
      </c>
    </row>
    <row r="18" spans="4:4" x14ac:dyDescent="0.25">
      <c r="D18" t="s">
        <v>35</v>
      </c>
    </row>
    <row r="19" spans="4:4" x14ac:dyDescent="0.25">
      <c r="D19" t="s">
        <v>33</v>
      </c>
    </row>
    <row r="20" spans="4:4" x14ac:dyDescent="0.25">
      <c r="D20" s="19" t="s">
        <v>61</v>
      </c>
    </row>
    <row r="21" spans="4:4" x14ac:dyDescent="0.25">
      <c r="D21" s="19" t="s">
        <v>60</v>
      </c>
    </row>
    <row r="22" spans="4:4" x14ac:dyDescent="0.25">
      <c r="D22" t="s">
        <v>36</v>
      </c>
    </row>
    <row r="23" spans="4:4" x14ac:dyDescent="0.25">
      <c r="D23" t="s">
        <v>31</v>
      </c>
    </row>
    <row r="24" spans="4:4" x14ac:dyDescent="0.25">
      <c r="D24" t="s">
        <v>34</v>
      </c>
    </row>
    <row r="25" spans="4:4" x14ac:dyDescent="0.25">
      <c r="D25" s="19" t="s">
        <v>56</v>
      </c>
    </row>
    <row r="26" spans="4:4" x14ac:dyDescent="0.25">
      <c r="D26" s="19" t="s">
        <v>57</v>
      </c>
    </row>
    <row r="27" spans="4:4" x14ac:dyDescent="0.25">
      <c r="D27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A962-F69F-46D9-920B-B37AD2756094}">
  <dimension ref="A1:L27"/>
  <sheetViews>
    <sheetView zoomScale="85" zoomScaleNormal="85" workbookViewId="0">
      <selection sqref="A1:F2"/>
    </sheetView>
  </sheetViews>
  <sheetFormatPr defaultRowHeight="15" x14ac:dyDescent="0.25"/>
  <cols>
    <col min="1" max="1" width="18" bestFit="1" customWidth="1"/>
    <col min="2" max="2" width="20.85546875" bestFit="1" customWidth="1"/>
    <col min="3" max="3" width="39.140625" bestFit="1" customWidth="1"/>
    <col min="4" max="4" width="22.7109375" bestFit="1" customWidth="1"/>
    <col min="5" max="5" width="48.7109375" bestFit="1" customWidth="1"/>
    <col min="6" max="6" width="13.5703125" customWidth="1"/>
    <col min="7" max="7" width="14.140625" customWidth="1"/>
    <col min="8" max="8" width="13" customWidth="1"/>
    <col min="9" max="9" width="12.7109375" bestFit="1" customWidth="1"/>
    <col min="10" max="10" width="18.85546875" customWidth="1"/>
    <col min="11" max="11" width="16.7109375" customWidth="1"/>
    <col min="12" max="12" width="16" customWidth="1"/>
  </cols>
  <sheetData>
    <row r="1" spans="1:12" s="4" customFormat="1" ht="45" x14ac:dyDescent="0.25">
      <c r="A1" s="4" t="s">
        <v>3</v>
      </c>
      <c r="B1" s="4" t="s">
        <v>5</v>
      </c>
      <c r="C1" s="4" t="s">
        <v>2</v>
      </c>
      <c r="D1" s="4" t="s">
        <v>6</v>
      </c>
      <c r="F1" s="11" t="s">
        <v>19</v>
      </c>
      <c r="G1" s="11" t="s">
        <v>20</v>
      </c>
      <c r="H1" s="11" t="s">
        <v>24</v>
      </c>
      <c r="I1" s="11" t="s">
        <v>21</v>
      </c>
      <c r="J1" s="11" t="s">
        <v>22</v>
      </c>
      <c r="K1" s="11" t="s">
        <v>25</v>
      </c>
      <c r="L1" s="11" t="s">
        <v>23</v>
      </c>
    </row>
    <row r="2" spans="1:12" x14ac:dyDescent="0.25">
      <c r="A2" t="s">
        <v>37</v>
      </c>
      <c r="B2" t="s">
        <v>46</v>
      </c>
      <c r="D2" t="str">
        <f>A2 &amp; " - " &amp; B2</f>
        <v>[Y-90] - Zevalin®</v>
      </c>
      <c r="E2" t="str">
        <f>D2</f>
        <v>[Y-90] - Zevalin®</v>
      </c>
      <c r="F2">
        <v>2.7</v>
      </c>
      <c r="G2">
        <v>1.96</v>
      </c>
      <c r="H2" s="18">
        <v>1.1356223175965665</v>
      </c>
      <c r="I2">
        <v>10</v>
      </c>
      <c r="J2">
        <v>0.1</v>
      </c>
      <c r="K2">
        <v>1110</v>
      </c>
      <c r="L2" s="12">
        <v>15.091388006593414</v>
      </c>
    </row>
    <row r="3" spans="1:12" x14ac:dyDescent="0.25">
      <c r="A3" t="s">
        <v>37</v>
      </c>
      <c r="B3" t="s">
        <v>15</v>
      </c>
      <c r="D3" t="str">
        <f>A3 &amp; " - " &amp; B3</f>
        <v>[Y-90] - Colloid</v>
      </c>
      <c r="E3" t="str">
        <f>D3</f>
        <v>[Y-90] - Colloid</v>
      </c>
      <c r="F3">
        <v>2.7</v>
      </c>
      <c r="G3">
        <v>100</v>
      </c>
      <c r="H3" s="18">
        <v>2.6290165530671858</v>
      </c>
      <c r="I3">
        <v>0</v>
      </c>
      <c r="J3">
        <v>0.1</v>
      </c>
      <c r="K3">
        <v>370</v>
      </c>
      <c r="L3" s="12">
        <v>31.169165386381906</v>
      </c>
    </row>
    <row r="4" spans="1:12" s="10" customFormat="1" x14ac:dyDescent="0.25">
      <c r="A4" s="19" t="s">
        <v>37</v>
      </c>
      <c r="B4" s="19" t="s">
        <v>16</v>
      </c>
      <c r="C4" s="19"/>
      <c r="D4" s="19" t="str">
        <f t="shared" ref="D4" si="0">A4 &amp; " - " &amp; B4</f>
        <v>[Y-90] - Microsfeertjes</v>
      </c>
      <c r="E4" s="19" t="str">
        <f>D4</f>
        <v>[Y-90] - Microsfeertjes</v>
      </c>
      <c r="F4" s="19">
        <v>2.7</v>
      </c>
      <c r="G4" s="19">
        <v>10000</v>
      </c>
      <c r="H4" s="20">
        <v>2.6992711967768699</v>
      </c>
      <c r="I4" s="19">
        <v>0</v>
      </c>
      <c r="J4" s="19">
        <v>0.1</v>
      </c>
      <c r="K4" s="19">
        <v>1480</v>
      </c>
      <c r="L4" s="21">
        <v>37.401781232387535</v>
      </c>
    </row>
    <row r="5" spans="1:12" x14ac:dyDescent="0.25">
      <c r="A5" s="19" t="s">
        <v>38</v>
      </c>
      <c r="B5" s="19" t="s">
        <v>26</v>
      </c>
      <c r="C5" s="19"/>
      <c r="D5" s="19" t="str">
        <f>A5 &amp; " - " &amp; B5</f>
        <v>[I-125] - Implantaten</v>
      </c>
      <c r="E5" s="19" t="str">
        <f>D5</f>
        <v>[I-125] - Implantaten</v>
      </c>
      <c r="F5" s="19">
        <v>60</v>
      </c>
      <c r="G5" s="23">
        <v>1000000000</v>
      </c>
      <c r="H5" s="20">
        <v>59.999996400000214</v>
      </c>
      <c r="I5" s="19">
        <v>0</v>
      </c>
      <c r="J5" s="19">
        <v>1</v>
      </c>
      <c r="K5" s="19">
        <v>1480</v>
      </c>
      <c r="L5" s="21">
        <v>632.0170501099866</v>
      </c>
    </row>
    <row r="6" spans="1:12" x14ac:dyDescent="0.25">
      <c r="A6" s="19" t="s">
        <v>39</v>
      </c>
      <c r="B6" s="19" t="s">
        <v>4</v>
      </c>
      <c r="C6" s="19" t="s">
        <v>14</v>
      </c>
      <c r="D6" s="19" t="str">
        <f t="shared" ref="D6:D12" si="1">A6 &amp; " - " &amp; B6</f>
        <v>[I-131] - NaI</v>
      </c>
      <c r="E6" s="19" t="str">
        <f>D6 &amp; C6</f>
        <v>[I-131] - NaISchildklier : kanker</v>
      </c>
      <c r="F6" s="19">
        <v>8</v>
      </c>
      <c r="G6" s="19">
        <v>2.2000000000000002</v>
      </c>
      <c r="H6" s="20">
        <v>1.7254901960784317</v>
      </c>
      <c r="I6" s="19">
        <v>80</v>
      </c>
      <c r="J6" s="19">
        <v>1</v>
      </c>
      <c r="K6" s="19">
        <v>3700</v>
      </c>
      <c r="L6" s="21">
        <v>16.449798160468639</v>
      </c>
    </row>
    <row r="7" spans="1:12" x14ac:dyDescent="0.25">
      <c r="A7" s="19" t="s">
        <v>39</v>
      </c>
      <c r="B7" s="19" t="s">
        <v>4</v>
      </c>
      <c r="C7" s="19" t="s">
        <v>13</v>
      </c>
      <c r="D7" s="19" t="str">
        <f t="shared" si="1"/>
        <v>[I-131] - NaI</v>
      </c>
      <c r="E7" s="19" t="str">
        <f>D7 &amp; C7</f>
        <v>[I-131] - NaISchildklier : goedaardige aandoeningen</v>
      </c>
      <c r="F7" s="19">
        <v>8</v>
      </c>
      <c r="G7" s="19">
        <v>6.2</v>
      </c>
      <c r="H7" s="20">
        <v>3.4929577464788735</v>
      </c>
      <c r="I7" s="19">
        <v>40</v>
      </c>
      <c r="J7" s="19">
        <v>1</v>
      </c>
      <c r="K7" s="19">
        <v>370</v>
      </c>
      <c r="L7" s="21">
        <v>27.231347493126954</v>
      </c>
    </row>
    <row r="8" spans="1:12" x14ac:dyDescent="0.25">
      <c r="A8" s="19" t="s">
        <v>39</v>
      </c>
      <c r="B8" s="19" t="s">
        <v>1</v>
      </c>
      <c r="C8" s="19"/>
      <c r="D8" s="19" t="str">
        <f t="shared" si="1"/>
        <v>[I-131] - MIBG</v>
      </c>
      <c r="E8" s="19" t="str">
        <f>D8</f>
        <v>[I-131] - MIBG</v>
      </c>
      <c r="F8" s="19">
        <v>8</v>
      </c>
      <c r="G8" s="19">
        <v>8</v>
      </c>
      <c r="H8" s="20">
        <v>4</v>
      </c>
      <c r="I8" s="19">
        <v>50</v>
      </c>
      <c r="J8" s="19">
        <v>1</v>
      </c>
      <c r="K8" s="19">
        <v>1800</v>
      </c>
      <c r="L8" s="21">
        <v>39.263461837369761</v>
      </c>
    </row>
    <row r="9" spans="1:12" x14ac:dyDescent="0.25">
      <c r="A9" s="19" t="s">
        <v>40</v>
      </c>
      <c r="B9" s="19" t="s">
        <v>44</v>
      </c>
      <c r="C9" s="19"/>
      <c r="D9" s="19" t="str">
        <f t="shared" si="1"/>
        <v>[Sm-153] - Quadramet®</v>
      </c>
      <c r="E9" s="19" t="str">
        <f t="shared" ref="E9:E12" si="2">D9</f>
        <v>[Sm-153] - Quadramet®</v>
      </c>
      <c r="F9" s="19">
        <v>1.95</v>
      </c>
      <c r="G9" s="19">
        <v>3</v>
      </c>
      <c r="H9" s="20">
        <v>1.1818181818181817</v>
      </c>
      <c r="I9" s="19">
        <v>20</v>
      </c>
      <c r="J9" s="19">
        <v>1</v>
      </c>
      <c r="K9" s="19">
        <v>2960</v>
      </c>
      <c r="L9" s="21">
        <v>13.250349330716338</v>
      </c>
    </row>
    <row r="10" spans="1:12" s="10" customFormat="1" x14ac:dyDescent="0.25">
      <c r="A10" s="19" t="s">
        <v>41</v>
      </c>
      <c r="B10" s="19" t="s">
        <v>16</v>
      </c>
      <c r="C10" s="19"/>
      <c r="D10" s="19" t="str">
        <f t="shared" si="1"/>
        <v>[Ho-166] - Microsfeertjes</v>
      </c>
      <c r="E10" s="19" t="str">
        <f t="shared" si="2"/>
        <v>[Ho-166] - Microsfeertjes</v>
      </c>
      <c r="F10" s="20">
        <v>1.1167</v>
      </c>
      <c r="G10" s="19">
        <v>10000</v>
      </c>
      <c r="H10" s="20">
        <v>1.1165753120349049</v>
      </c>
      <c r="I10" s="19">
        <v>0</v>
      </c>
      <c r="J10" s="19">
        <v>0.1</v>
      </c>
      <c r="K10" s="19">
        <v>12000</v>
      </c>
      <c r="L10" s="21">
        <v>18.843613409309722</v>
      </c>
    </row>
    <row r="11" spans="1:12" s="10" customFormat="1" x14ac:dyDescent="0.25">
      <c r="A11" s="19" t="s">
        <v>42</v>
      </c>
      <c r="B11" s="19" t="s">
        <v>65</v>
      </c>
      <c r="C11" s="19"/>
      <c r="D11" s="19" t="str">
        <f t="shared" si="1"/>
        <v>[Lu-177] - DOTATAAT</v>
      </c>
      <c r="E11" s="19" t="str">
        <f t="shared" si="2"/>
        <v>[Lu-177] - DOTATAAT</v>
      </c>
      <c r="F11" s="19">
        <v>6.71</v>
      </c>
      <c r="G11" s="19">
        <v>0</v>
      </c>
      <c r="H11" s="20">
        <v>4.17</v>
      </c>
      <c r="I11" s="19">
        <v>65</v>
      </c>
      <c r="J11" s="19">
        <v>10</v>
      </c>
      <c r="K11" s="19">
        <v>7400</v>
      </c>
      <c r="L11" s="21">
        <v>33.437190501135746</v>
      </c>
    </row>
    <row r="12" spans="1:12" s="10" customFormat="1" x14ac:dyDescent="0.25">
      <c r="A12" s="19" t="s">
        <v>42</v>
      </c>
      <c r="B12" s="19" t="s">
        <v>9</v>
      </c>
      <c r="C12" s="19"/>
      <c r="D12" s="19" t="str">
        <f t="shared" si="1"/>
        <v>[Lu-177] - PSMA</v>
      </c>
      <c r="E12" s="19" t="str">
        <f t="shared" si="2"/>
        <v>[Lu-177] - PSMA</v>
      </c>
      <c r="F12" s="19">
        <v>6.71</v>
      </c>
      <c r="G12" s="19">
        <v>0</v>
      </c>
      <c r="H12" s="20">
        <v>3.54</v>
      </c>
      <c r="I12" s="19">
        <v>70</v>
      </c>
      <c r="J12" s="19">
        <v>10</v>
      </c>
      <c r="K12" s="19">
        <v>7400</v>
      </c>
      <c r="L12" s="21">
        <v>27.598092253719873</v>
      </c>
    </row>
    <row r="13" spans="1:12" x14ac:dyDescent="0.25">
      <c r="A13" s="19" t="s">
        <v>43</v>
      </c>
      <c r="B13" s="19" t="s">
        <v>45</v>
      </c>
      <c r="C13" s="19"/>
      <c r="D13" s="19" t="str">
        <f>A13 &amp; " - " &amp; B13</f>
        <v>[Ra-223] - Xofigo®</v>
      </c>
      <c r="E13" s="19" t="str">
        <f>D13</f>
        <v>[Ra-223] - Xofigo®</v>
      </c>
      <c r="F13" s="19">
        <v>11.4</v>
      </c>
      <c r="G13" s="23">
        <v>10000</v>
      </c>
      <c r="H13" s="20">
        <v>11.387018798569631</v>
      </c>
      <c r="I13" s="19">
        <v>0</v>
      </c>
      <c r="J13" s="19">
        <v>0.1</v>
      </c>
      <c r="K13" s="19">
        <v>3.6</v>
      </c>
      <c r="L13" s="21">
        <v>58.882536099899013</v>
      </c>
    </row>
    <row r="15" spans="1:12" x14ac:dyDescent="0.25">
      <c r="D15" s="4" t="s">
        <v>7</v>
      </c>
    </row>
    <row r="16" spans="1:12" x14ac:dyDescent="0.25">
      <c r="D16" t="s">
        <v>30</v>
      </c>
    </row>
    <row r="17" spans="4:4" x14ac:dyDescent="0.25">
      <c r="D17" t="s">
        <v>29</v>
      </c>
    </row>
    <row r="18" spans="4:4" x14ac:dyDescent="0.25">
      <c r="D18" t="s">
        <v>35</v>
      </c>
    </row>
    <row r="19" spans="4:4" x14ac:dyDescent="0.25">
      <c r="D19" t="s">
        <v>33</v>
      </c>
    </row>
    <row r="20" spans="4:4" x14ac:dyDescent="0.25">
      <c r="D20" s="19" t="s">
        <v>59</v>
      </c>
    </row>
    <row r="21" spans="4:4" x14ac:dyDescent="0.25">
      <c r="D21" s="19" t="s">
        <v>58</v>
      </c>
    </row>
    <row r="22" spans="4:4" x14ac:dyDescent="0.25">
      <c r="D22" t="s">
        <v>28</v>
      </c>
    </row>
    <row r="23" spans="4:4" x14ac:dyDescent="0.25">
      <c r="D23" t="s">
        <v>31</v>
      </c>
    </row>
    <row r="24" spans="4:4" x14ac:dyDescent="0.25">
      <c r="D24" t="s">
        <v>34</v>
      </c>
    </row>
    <row r="25" spans="4:4" x14ac:dyDescent="0.25">
      <c r="D25" s="19" t="s">
        <v>66</v>
      </c>
    </row>
    <row r="26" spans="4:4" x14ac:dyDescent="0.25">
      <c r="D26" s="19" t="s">
        <v>57</v>
      </c>
    </row>
    <row r="27" spans="4:4" x14ac:dyDescent="0.25">
      <c r="D2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4E99-E2AD-4E2B-9145-EC44DEBDB326}">
  <dimension ref="A1:L26"/>
  <sheetViews>
    <sheetView zoomScale="85" zoomScaleNormal="85" workbookViewId="0">
      <selection sqref="A1:F2"/>
    </sheetView>
  </sheetViews>
  <sheetFormatPr defaultRowHeight="15" x14ac:dyDescent="0.25"/>
  <cols>
    <col min="1" max="1" width="18" bestFit="1" customWidth="1"/>
    <col min="2" max="2" width="20.85546875" bestFit="1" customWidth="1"/>
    <col min="3" max="3" width="39.140625" bestFit="1" customWidth="1"/>
    <col min="4" max="4" width="22.7109375" bestFit="1" customWidth="1"/>
    <col min="5" max="5" width="48.7109375" bestFit="1" customWidth="1"/>
    <col min="6" max="6" width="13.5703125" customWidth="1"/>
    <col min="7" max="7" width="14.140625" customWidth="1"/>
    <col min="8" max="8" width="13" customWidth="1"/>
    <col min="9" max="9" width="12.7109375" bestFit="1" customWidth="1"/>
    <col min="10" max="10" width="18.85546875" customWidth="1"/>
    <col min="11" max="11" width="16.7109375" customWidth="1"/>
    <col min="12" max="12" width="16" customWidth="1"/>
  </cols>
  <sheetData>
    <row r="1" spans="1:12" s="4" customFormat="1" ht="45" x14ac:dyDescent="0.25">
      <c r="A1" s="4" t="s">
        <v>3</v>
      </c>
      <c r="B1" s="4" t="s">
        <v>5</v>
      </c>
      <c r="C1" s="4" t="s">
        <v>2</v>
      </c>
      <c r="D1" s="4" t="s">
        <v>6</v>
      </c>
      <c r="F1" s="11" t="s">
        <v>19</v>
      </c>
      <c r="G1" s="11" t="s">
        <v>20</v>
      </c>
      <c r="H1" s="11" t="s">
        <v>24</v>
      </c>
      <c r="I1" s="11" t="s">
        <v>21</v>
      </c>
      <c r="J1" s="11" t="s">
        <v>22</v>
      </c>
      <c r="K1" s="11" t="s">
        <v>25</v>
      </c>
      <c r="L1" s="11" t="s">
        <v>23</v>
      </c>
    </row>
    <row r="2" spans="1:12" x14ac:dyDescent="0.25">
      <c r="A2" t="s">
        <v>37</v>
      </c>
      <c r="B2" t="s">
        <v>46</v>
      </c>
      <c r="D2" t="str">
        <f>A2 &amp; " - " &amp; B2</f>
        <v>[Y-90] - Zevalin®</v>
      </c>
      <c r="E2" t="str">
        <f>D2</f>
        <v>[Y-90] - Zevalin®</v>
      </c>
      <c r="F2">
        <v>2.7</v>
      </c>
      <c r="G2">
        <v>1.96</v>
      </c>
      <c r="H2" s="18">
        <v>1.1356223175965665</v>
      </c>
      <c r="I2">
        <v>10</v>
      </c>
      <c r="J2">
        <v>0.1</v>
      </c>
      <c r="K2">
        <v>1110</v>
      </c>
      <c r="L2" s="12">
        <v>15.091388006593414</v>
      </c>
    </row>
    <row r="3" spans="1:12" x14ac:dyDescent="0.25">
      <c r="A3" t="s">
        <v>37</v>
      </c>
      <c r="B3" t="s">
        <v>47</v>
      </c>
      <c r="D3" t="str">
        <f>A3 &amp; " - " &amp; B3</f>
        <v>[Y-90] - Kolloide</v>
      </c>
      <c r="E3" t="str">
        <f>D3</f>
        <v>[Y-90] - Kolloide</v>
      </c>
      <c r="F3">
        <v>2.7</v>
      </c>
      <c r="G3">
        <v>100</v>
      </c>
      <c r="H3" s="18">
        <v>2.6290165530671858</v>
      </c>
      <c r="I3">
        <v>0</v>
      </c>
      <c r="J3">
        <v>0.1</v>
      </c>
      <c r="K3">
        <v>370</v>
      </c>
      <c r="L3" s="12">
        <v>31.169165386381906</v>
      </c>
    </row>
    <row r="4" spans="1:12" s="10" customFormat="1" x14ac:dyDescent="0.25">
      <c r="A4" s="19" t="s">
        <v>37</v>
      </c>
      <c r="B4" s="19" t="s">
        <v>49</v>
      </c>
      <c r="C4" s="19"/>
      <c r="D4" s="19" t="str">
        <f t="shared" ref="D4" si="0">A4 &amp; " - " &amp; B4</f>
        <v>[Y-90] - Mikrosphären</v>
      </c>
      <c r="E4" s="19" t="str">
        <f>D4</f>
        <v>[Y-90] - Mikrosphären</v>
      </c>
      <c r="F4" s="19">
        <v>2.7</v>
      </c>
      <c r="G4" s="19">
        <v>10000</v>
      </c>
      <c r="H4" s="20">
        <v>2.6992711967768699</v>
      </c>
      <c r="I4" s="19">
        <v>0</v>
      </c>
      <c r="J4" s="19">
        <v>0.1</v>
      </c>
      <c r="K4" s="19">
        <v>1480</v>
      </c>
      <c r="L4" s="21">
        <v>37.401781232387535</v>
      </c>
    </row>
    <row r="5" spans="1:12" x14ac:dyDescent="0.25">
      <c r="A5" s="19" t="s">
        <v>38</v>
      </c>
      <c r="B5" s="19" t="s">
        <v>48</v>
      </c>
      <c r="C5" s="19"/>
      <c r="D5" s="19" t="str">
        <f>A5 &amp; " - " &amp; B5</f>
        <v>[I-125] - Implantate</v>
      </c>
      <c r="E5" s="19" t="str">
        <f>D5</f>
        <v>[I-125] - Implantate</v>
      </c>
      <c r="F5" s="19">
        <v>60</v>
      </c>
      <c r="G5" s="23">
        <v>1000000000</v>
      </c>
      <c r="H5" s="20">
        <v>59.999996400000214</v>
      </c>
      <c r="I5" s="19">
        <v>0</v>
      </c>
      <c r="J5" s="19">
        <v>1</v>
      </c>
      <c r="K5" s="19">
        <v>1480</v>
      </c>
      <c r="L5" s="21">
        <v>632.0170501099866</v>
      </c>
    </row>
    <row r="6" spans="1:12" x14ac:dyDescent="0.25">
      <c r="A6" s="19" t="s">
        <v>39</v>
      </c>
      <c r="B6" s="19" t="s">
        <v>4</v>
      </c>
      <c r="C6" s="19" t="s">
        <v>50</v>
      </c>
      <c r="D6" s="19" t="str">
        <f t="shared" ref="D6:D12" si="1">A6 &amp; " - " &amp; B6</f>
        <v>[I-131] - NaI</v>
      </c>
      <c r="E6" s="19" t="str">
        <f>D6 &amp; C6</f>
        <v xml:space="preserve">[I-131] - NaISchilddrüse : Krebs </v>
      </c>
      <c r="F6" s="19">
        <v>8</v>
      </c>
      <c r="G6" s="19">
        <v>2.2000000000000002</v>
      </c>
      <c r="H6" s="20">
        <v>1.7254901960784317</v>
      </c>
      <c r="I6" s="19">
        <v>80</v>
      </c>
      <c r="J6" s="19">
        <v>1</v>
      </c>
      <c r="K6" s="19">
        <v>3700</v>
      </c>
      <c r="L6" s="21">
        <v>16.449798160468639</v>
      </c>
    </row>
    <row r="7" spans="1:12" x14ac:dyDescent="0.25">
      <c r="A7" s="19" t="s">
        <v>39</v>
      </c>
      <c r="B7" s="19" t="s">
        <v>4</v>
      </c>
      <c r="C7" s="19" t="s">
        <v>51</v>
      </c>
      <c r="D7" s="19" t="str">
        <f t="shared" si="1"/>
        <v>[I-131] - NaI</v>
      </c>
      <c r="E7" s="19" t="str">
        <f>D7 &amp; C7</f>
        <v>[I-131] - NaISchilddrüse : gutartige Krankheiten</v>
      </c>
      <c r="F7" s="19">
        <v>8</v>
      </c>
      <c r="G7" s="19">
        <v>6.2</v>
      </c>
      <c r="H7" s="20">
        <v>3.4929577464788735</v>
      </c>
      <c r="I7" s="19">
        <v>40</v>
      </c>
      <c r="J7" s="19">
        <v>1</v>
      </c>
      <c r="K7" s="19">
        <v>370</v>
      </c>
      <c r="L7" s="21">
        <v>27.231347493126954</v>
      </c>
    </row>
    <row r="8" spans="1:12" x14ac:dyDescent="0.25">
      <c r="A8" s="19" t="s">
        <v>39</v>
      </c>
      <c r="B8" s="19" t="s">
        <v>1</v>
      </c>
      <c r="C8" s="19"/>
      <c r="D8" s="19" t="str">
        <f t="shared" si="1"/>
        <v>[I-131] - MIBG</v>
      </c>
      <c r="E8" s="19" t="str">
        <f>D8</f>
        <v>[I-131] - MIBG</v>
      </c>
      <c r="F8" s="19">
        <v>8</v>
      </c>
      <c r="G8" s="19">
        <v>8</v>
      </c>
      <c r="H8" s="20">
        <v>4</v>
      </c>
      <c r="I8" s="19">
        <v>50</v>
      </c>
      <c r="J8" s="19">
        <v>1</v>
      </c>
      <c r="K8" s="19">
        <v>1800</v>
      </c>
      <c r="L8" s="21">
        <v>39.263461837369761</v>
      </c>
    </row>
    <row r="9" spans="1:12" x14ac:dyDescent="0.25">
      <c r="A9" s="19" t="s">
        <v>40</v>
      </c>
      <c r="B9" s="19" t="s">
        <v>44</v>
      </c>
      <c r="C9" s="19"/>
      <c r="D9" s="19" t="str">
        <f t="shared" si="1"/>
        <v>[Sm-153] - Quadramet®</v>
      </c>
      <c r="E9" s="19" t="str">
        <f t="shared" ref="E9:E12" si="2">D9</f>
        <v>[Sm-153] - Quadramet®</v>
      </c>
      <c r="F9" s="19">
        <v>1.95</v>
      </c>
      <c r="G9" s="19">
        <v>3</v>
      </c>
      <c r="H9" s="20">
        <v>1.1818181818181817</v>
      </c>
      <c r="I9" s="19">
        <v>20</v>
      </c>
      <c r="J9" s="19">
        <v>1</v>
      </c>
      <c r="K9" s="19">
        <v>2960</v>
      </c>
      <c r="L9" s="21">
        <v>13.250349330716338</v>
      </c>
    </row>
    <row r="10" spans="1:12" s="10" customFormat="1" x14ac:dyDescent="0.25">
      <c r="A10" s="19" t="s">
        <v>41</v>
      </c>
      <c r="B10" s="19" t="s">
        <v>49</v>
      </c>
      <c r="C10" s="19"/>
      <c r="D10" s="19" t="str">
        <f t="shared" si="1"/>
        <v>[Ho-166] - Mikrosphären</v>
      </c>
      <c r="E10" s="19" t="str">
        <f t="shared" si="2"/>
        <v>[Ho-166] - Mikrosphären</v>
      </c>
      <c r="F10" s="20">
        <v>1.1167</v>
      </c>
      <c r="G10" s="19">
        <v>10000</v>
      </c>
      <c r="H10" s="20">
        <v>1.1165753120349049</v>
      </c>
      <c r="I10" s="19">
        <v>0</v>
      </c>
      <c r="J10" s="19">
        <v>0.1</v>
      </c>
      <c r="K10" s="19">
        <v>12000</v>
      </c>
      <c r="L10" s="21">
        <v>18.843613409309722</v>
      </c>
    </row>
    <row r="11" spans="1:12" s="10" customFormat="1" x14ac:dyDescent="0.25">
      <c r="A11" s="19" t="s">
        <v>42</v>
      </c>
      <c r="B11" s="19" t="s">
        <v>8</v>
      </c>
      <c r="C11" s="19"/>
      <c r="D11" s="19" t="str">
        <f t="shared" si="1"/>
        <v>[Lu-177] - DOTATATE</v>
      </c>
      <c r="E11" s="19" t="str">
        <f t="shared" si="2"/>
        <v>[Lu-177] - DOTATATE</v>
      </c>
      <c r="F11" s="19">
        <v>6.71</v>
      </c>
      <c r="G11" s="19">
        <v>0</v>
      </c>
      <c r="H11" s="20">
        <v>4.17</v>
      </c>
      <c r="I11" s="19">
        <v>65</v>
      </c>
      <c r="J11" s="19">
        <v>10</v>
      </c>
      <c r="K11" s="19">
        <v>7400</v>
      </c>
      <c r="L11" s="21">
        <v>33.437190501135746</v>
      </c>
    </row>
    <row r="12" spans="1:12" s="10" customFormat="1" x14ac:dyDescent="0.25">
      <c r="A12" s="19" t="s">
        <v>42</v>
      </c>
      <c r="B12" s="19" t="s">
        <v>9</v>
      </c>
      <c r="C12" s="19"/>
      <c r="D12" s="19" t="str">
        <f t="shared" si="1"/>
        <v>[Lu-177] - PSMA</v>
      </c>
      <c r="E12" s="19" t="str">
        <f t="shared" si="2"/>
        <v>[Lu-177] - PSMA</v>
      </c>
      <c r="F12" s="19">
        <v>6.71</v>
      </c>
      <c r="G12" s="19">
        <v>0</v>
      </c>
      <c r="H12" s="20">
        <v>3.54</v>
      </c>
      <c r="I12" s="19">
        <v>70</v>
      </c>
      <c r="J12" s="19">
        <v>10</v>
      </c>
      <c r="K12" s="19">
        <v>7400</v>
      </c>
      <c r="L12" s="21">
        <v>27.598092253719873</v>
      </c>
    </row>
    <row r="13" spans="1:12" x14ac:dyDescent="0.25">
      <c r="A13" t="s">
        <v>43</v>
      </c>
      <c r="B13" t="s">
        <v>45</v>
      </c>
      <c r="D13" t="str">
        <f>A13 &amp; " - " &amp; B13</f>
        <v>[Ra-223] - Xofigo®</v>
      </c>
      <c r="E13" t="str">
        <f>D13</f>
        <v>[Ra-223] - Xofigo®</v>
      </c>
      <c r="F13">
        <v>11.4</v>
      </c>
      <c r="G13" s="22">
        <v>10000</v>
      </c>
      <c r="H13" s="18">
        <v>11.387018798569631</v>
      </c>
      <c r="I13">
        <v>0</v>
      </c>
      <c r="J13">
        <v>0.1</v>
      </c>
      <c r="K13">
        <v>3.6</v>
      </c>
      <c r="L13" s="12">
        <v>58.882536099899013</v>
      </c>
    </row>
    <row r="15" spans="1:12" x14ac:dyDescent="0.25">
      <c r="D15" s="4" t="s">
        <v>7</v>
      </c>
    </row>
    <row r="16" spans="1:12" x14ac:dyDescent="0.25">
      <c r="D16" t="s">
        <v>30</v>
      </c>
    </row>
    <row r="17" spans="4:4" x14ac:dyDescent="0.25">
      <c r="D17" t="s">
        <v>52</v>
      </c>
    </row>
    <row r="18" spans="4:4" x14ac:dyDescent="0.25">
      <c r="D18" t="s">
        <v>35</v>
      </c>
    </row>
    <row r="19" spans="4:4" x14ac:dyDescent="0.25">
      <c r="D19" t="s">
        <v>33</v>
      </c>
    </row>
    <row r="20" spans="4:4" x14ac:dyDescent="0.25">
      <c r="D20" s="19" t="s">
        <v>54</v>
      </c>
    </row>
    <row r="21" spans="4:4" x14ac:dyDescent="0.25">
      <c r="D21" s="19" t="s">
        <v>55</v>
      </c>
    </row>
    <row r="22" spans="4:4" x14ac:dyDescent="0.25">
      <c r="D22" t="s">
        <v>53</v>
      </c>
    </row>
    <row r="23" spans="4:4" x14ac:dyDescent="0.25">
      <c r="D23" t="s">
        <v>31</v>
      </c>
    </row>
    <row r="24" spans="4:4" x14ac:dyDescent="0.25">
      <c r="D24" t="s">
        <v>34</v>
      </c>
    </row>
    <row r="25" spans="4:4" x14ac:dyDescent="0.25">
      <c r="D25" s="19" t="s">
        <v>56</v>
      </c>
    </row>
    <row r="26" spans="4:4" x14ac:dyDescent="0.25">
      <c r="D26" s="1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CalculatorEN</vt:lpstr>
      <vt:lpstr>CalculatorFR</vt:lpstr>
      <vt:lpstr>CalculatorNL</vt:lpstr>
      <vt:lpstr>CalculatorDE</vt:lpstr>
      <vt:lpstr>DataEN</vt:lpstr>
      <vt:lpstr>DataFR</vt:lpstr>
      <vt:lpstr>DataNL</vt:lpstr>
      <vt:lpstr>DataDE</vt:lpstr>
      <vt:lpstr>EmptyList</vt:lpstr>
      <vt:lpstr>I131NaIDE</vt:lpstr>
      <vt:lpstr>I131NaIEN</vt:lpstr>
      <vt:lpstr>I131NaIFR</vt:lpstr>
      <vt:lpstr>I131NaINL</vt:lpstr>
      <vt:lpstr>ProductListDE</vt:lpstr>
      <vt:lpstr>ProductListEN</vt:lpstr>
      <vt:lpstr>ProductListFR</vt:lpstr>
      <vt:lpstr>ProductListNL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VANDECAPELLE Marleen</cp:lastModifiedBy>
  <cp:lastPrinted>2020-06-23T12:44:11Z</cp:lastPrinted>
  <dcterms:created xsi:type="dcterms:W3CDTF">2020-01-20T09:35:08Z</dcterms:created>
  <dcterms:modified xsi:type="dcterms:W3CDTF">2020-08-17T09:42:54Z</dcterms:modified>
</cp:coreProperties>
</file>